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visible" name="Version tracking" sheetId="3" r:id="rId6"/>
    <sheet state="hidden" name="Vocabulary Lists (pending)" sheetId="4" r:id="rId7"/>
  </sheets>
  <definedNames>
    <definedName hidden="1" localSheetId="0" name="_xlnm._FilterDatabase">'Field Reference Guide'!$A$6:$AB$92</definedName>
    <definedName hidden="1" localSheetId="1" name="_xlnm._FilterDatabase">'Term Reference Guide'!$A$3:$M$3655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Formula in the cells below combines the term label and the ontology identifier columns from the `Term Reference Guide` tab into the appropriate picklist format.</t>
      </text>
    </comment>
    <comment authorId="0" ref="C1">
      <text>
        <t xml:space="preserve">Formula in the cells below combines the term label and the ontology identifier columns from the `Term Reference Guide` tab into the appropriate picklist format.</t>
      </text>
    </comment>
    <comment authorId="0" ref="E1">
      <text>
        <t xml:space="preserve">Formula in the cells below combines the term label and the ontology identifier columns from the `Term Reference Guide` tab into the appropriate picklist format.</t>
      </text>
    </comment>
    <comment authorId="0" ref="G1">
      <text>
        <t xml:space="preserve">Formula in the cells below combines the term label and the ontology identifier columns from the `Term Reference Guide` tab into the appropriate picklist format.</t>
      </text>
    </comment>
    <comment authorId="0" ref="K1">
      <text>
        <t xml:space="preserve">Formula in the cells below combines the term label and the ontology identifier columns from the `Term Reference Guide` tab into the appropriate picklist format.</t>
      </text>
    </comment>
    <comment authorId="0" ref="M1">
      <text>
        <t xml:space="preserve">Formula in the cells below combines the term label and the ontology identifier columns from the `Term Reference Guide` tab into the appropriate picklist format.</t>
      </text>
    </comment>
    <comment authorId="0" ref="O1">
      <text>
        <t xml:space="preserve">Formula in the cells below combines the term label and the ontology identifier columns from the `Term Reference Guide` tab into the appropriate picklist format.</t>
      </text>
    </comment>
    <comment authorId="0" ref="Q1">
      <text>
        <t xml:space="preserve">Formula in the cells below combines the term label and the ontology identifier columns from the `Term Reference Guide` tab into the appropriate picklist format.</t>
      </text>
    </comment>
    <comment authorId="0" ref="S1">
      <text>
        <t xml:space="preserve">Formula in the cells below combines the term label and the ontology identifier columns from the `Term Reference Guide` tab into the appropriate picklist format.</t>
      </text>
    </comment>
    <comment authorId="0" ref="U1">
      <text>
        <t xml:space="preserve">Formula in the cells below combines the term label and the ontology identifier columns from the `Term Reference Guide` tab into the appropriate picklist format.</t>
      </text>
    </comment>
    <comment authorId="0" ref="W1">
      <text>
        <t xml:space="preserve">Formula in the cells below combines the term label and the ontology identifier columns from the `Term Reference Guide` tab into the appropriate picklist format.</t>
      </text>
    </comment>
    <comment authorId="0" ref="Y1">
      <text>
        <t xml:space="preserve">Formula in the cells below combines the term label and the ontology identifier columns from the `Term Reference Guide` tab into the appropriate picklist format.</t>
      </text>
    </comment>
    <comment authorId="0" ref="AA1">
      <text>
        <t xml:space="preserve">Formula in the cells below combines the term label and the ontology identifier columns from the `Term Reference Guide` tab into the appropriate picklist format.</t>
      </text>
    </comment>
    <comment authorId="0" ref="AC1">
      <text>
        <t xml:space="preserve">Formula in the cells below combines the term label and the ontology identifier columns from the `Term Reference Guide` tab into the appropriate picklist format.</t>
      </text>
    </comment>
    <comment authorId="0" ref="AE1">
      <text>
        <t xml:space="preserve">Formula in the cells below combines the term label and the ontology identifier columns from the `Term Reference Guide` tab into the appropriate picklist format.</t>
      </text>
    </comment>
    <comment authorId="0" ref="AG1">
      <text>
        <t xml:space="preserve">Formula in the cells below combines the term label and the ontology identifier columns from the `Term Reference Guide` tab into the appropriate picklist format.</t>
      </text>
    </comment>
    <comment authorId="0" ref="AI1">
      <text>
        <t xml:space="preserve">Formula in the cells below combines the term label and the ontology identifier columns from the `Term Reference Guide` tab into the appropriate picklist format.</t>
      </text>
    </comment>
    <comment authorId="0" ref="AK1">
      <text>
        <t xml:space="preserve">Formula in the cells below combines the term label and the ontology identifier columns from the `Term Reference Guide` tab into the appropriate picklist format.
</t>
      </text>
    </comment>
    <comment authorId="0" ref="AM1">
      <text>
        <t xml:space="preserve">Formula in the cells below combines the term label and the ontology identifier columns from the `Term Reference Guide` tab into the appropriate picklist format.</t>
      </text>
    </comment>
    <comment authorId="0" ref="AO1">
      <text>
        <t xml:space="preserve">Formula in the cells below combines the term label and the ontology identifier columns from the `Term Reference Guide` tab into the appropriate picklist format.</t>
      </text>
    </comment>
    <comment authorId="0" ref="AQ1">
      <text>
        <t xml:space="preserve">Formula in the cells below combines the term label and the ontology identifier columns from the `Term Reference Guide` tab into the appropriate picklist format.</t>
      </text>
    </comment>
    <comment authorId="0" ref="AS1">
      <text>
        <t xml:space="preserve">Formula in the cells below combines the term label and the ontology identifier columns from the `Term Reference Guide` tab into the appropriate picklist format.</t>
      </text>
    </comment>
    <comment authorId="0" ref="AU1">
      <text>
        <t xml:space="preserve">Formula in the cells below combines the term label and the ontology identifier columns from the `Term Reference Guide` tab into the appropriate picklist format.</t>
      </text>
    </comment>
    <comment authorId="0" ref="AW1">
      <text>
        <t xml:space="preserve">Formula in the cells below combines the term label and the ontology identifier columns from the `Term Reference Guide` tab into the appropriate picklist format.</t>
      </text>
    </comment>
    <comment authorId="0" ref="AY1">
      <text>
        <t xml:space="preserve">Formula in the cells below combines the term label and the ontology identifier columns from the `Term Reference Guide` tab into the appropriate picklist format.</t>
      </text>
    </comment>
    <comment authorId="0" ref="BA1">
      <text>
        <t xml:space="preserve">Formula in the cells below combines the term label and the ontology identifier columns from the `Term Reference Guide` tab into the appropriate picklist format.</t>
      </text>
    </comment>
    <comment authorId="0" ref="BC1">
      <text>
        <t xml:space="preserve">Formula in the cells below combines the term label and the ontology identifier columns from the `Term Reference Guide` tab into the appropriate picklist format.</t>
      </text>
    </comment>
    <comment authorId="0" ref="BE1">
      <text>
        <t xml:space="preserve">Formula in the cells below combines the term label and the ontology identifier columns from the `Term Reference Guide` tab into the appropriate picklist format.</t>
      </text>
    </comment>
    <comment authorId="0" ref="BG1">
      <text>
        <t xml:space="preserve">Formula in the cells below combines the term label and the ontology identifier columns from the `Term Reference Guide` tab into the appropriate picklist format.</t>
      </text>
    </comment>
    <comment authorId="0" ref="BI1">
      <text>
        <t xml:space="preserve">Formula in the cells below combines the term label and the ontology identifier columns from the `Term Reference Guide` tab into the appropriate picklist format.</t>
      </text>
    </comment>
    <comment authorId="0" ref="BK1">
      <text>
        <t xml:space="preserve">Formula in the cells below combines the term label and the ontology identifier columns from the `Term Reference Guide` tab into the appropriate picklist format.</t>
      </text>
    </comment>
    <comment authorId="0" ref="BM1">
      <text>
        <t xml:space="preserve">Formula in the cells below combines the term label and the ontology identifier columns from the `Term Reference Guide` tab into the appropriate picklist format.</t>
      </text>
    </comment>
    <comment authorId="0" ref="BO1">
      <text>
        <t xml:space="preserve">Formula in the cells below combines the term label and the ontology identifier columns from the `Term Reference Guide` tab into the appropriate picklist format.</t>
      </text>
    </comment>
    <comment authorId="0" ref="BQ1">
      <text>
        <t xml:space="preserve">Formula in the cells below combines the term label and the ontology identifier columns from the `Term Reference Guide` tab into the appropriate picklist format.</t>
      </text>
    </comment>
    <comment authorId="0" ref="BS1">
      <text>
        <t xml:space="preserve">Formula in the cells below combines the term label and the ontology identifier columns from the `Term Reference Guide` tab into the appropriate picklist format.</t>
      </text>
    </comment>
    <comment authorId="0" ref="BU1">
      <text>
        <t xml:space="preserve">Formula in the cells below combines the term label and the ontology identifier columns from the `Term Reference Guide` tab into the appropriate picklist format.</t>
      </text>
    </comment>
    <comment authorId="0" ref="BW1">
      <text>
        <t xml:space="preserve">Formula in the cells below combines the term label and the ontology identifier columns from the `Term Reference Guide` tab into the appropriate picklist format.</t>
      </text>
    </comment>
  </commentList>
</comments>
</file>

<file path=xl/sharedStrings.xml><?xml version="1.0" encoding="utf-8"?>
<sst xmlns="http://schemas.openxmlformats.org/spreadsheetml/2006/main" count="5931" uniqueCount="114">
  <si>
    <t>Parent Class</t>
  </si>
  <si>
    <t>Field</t>
  </si>
  <si>
    <t>Ontology Identifier</t>
  </si>
  <si>
    <t>Definition</t>
  </si>
  <si>
    <t>Guidance</t>
  </si>
  <si>
    <t>Examples</t>
  </si>
  <si>
    <t>Deprecated Label</t>
  </si>
  <si>
    <t>Deprecated ID</t>
  </si>
  <si>
    <t>Version Tracking</t>
  </si>
  <si>
    <t>International/National</t>
  </si>
  <si>
    <t>Editor Notes</t>
  </si>
  <si>
    <t>Colour Code Legend</t>
  </si>
  <si>
    <r>
      <rPr>
        <rFont val="Arial"/>
        <b/>
        <color theme="1"/>
      </rPr>
      <t xml:space="preserve">IMPORTANT: </t>
    </r>
    <r>
      <rPr>
        <rFont val="Arial"/>
        <b val="0"/>
        <color theme="1"/>
      </rPr>
      <t>Only labels and/or IDs will be deprecated, always with replacement version provided. If a term changes in its meaning, a new term will be created.</t>
    </r>
  </si>
  <si>
    <t>Label</t>
  </si>
  <si>
    <t>ID</t>
  </si>
  <si>
    <t>Description/Guidance</t>
  </si>
  <si>
    <t>field name in yellow = required</t>
  </si>
  <si>
    <t>field name in purple = recommended</t>
  </si>
  <si>
    <t>field name in white = optional</t>
  </si>
  <si>
    <t>1.0.0</t>
  </si>
  <si>
    <t>3.0.0</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</si>
  <si>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</si>
  <si>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</si>
  <si>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Name lookup</t>
  </si>
  <si>
    <t>Mpox; International</t>
  </si>
  <si>
    <t>Mpox;Mpox_international</t>
  </si>
  <si>
    <t>Mpox</t>
  </si>
  <si>
    <t>International</t>
  </si>
  <si>
    <t>Mpox_international</t>
  </si>
  <si>
    <t>MPox</t>
  </si>
  <si>
    <t>MPox; MPox_international</t>
  </si>
  <si>
    <t>x</t>
  </si>
  <si>
    <t>GRDI Harmonization Template - Version Tracking / Release Notes</t>
  </si>
  <si>
    <t>Release Date
(GitHub)</t>
  </si>
  <si>
    <t>Update Date</t>
  </si>
  <si>
    <t>Template Version
(x.y.z)</t>
  </si>
  <si>
    <t>DH Template Version</t>
  </si>
  <si>
    <t>Reference Guide Update</t>
  </si>
  <si>
    <t>SOP Metadata  Update</t>
  </si>
  <si>
    <t>SOP DH Update</t>
  </si>
  <si>
    <t>NTR SOP Update</t>
  </si>
  <si>
    <t>x changes (field)</t>
  </si>
  <si>
    <t>y changes (values/IDs)</t>
  </si>
  <si>
    <t>z changes (defs/formats/examples)</t>
  </si>
  <si>
    <t>Release Note Tracking</t>
  </si>
  <si>
    <t>6.4.4</t>
  </si>
  <si>
    <t>6.4</t>
  </si>
  <si>
    <t>N/A</t>
  </si>
  <si>
    <t>1.1</t>
  </si>
  <si>
    <t>New fields: assay target name, genome sequence file name, genome sequence file path, experimental specimen role type, INSDC sequence read accession (replaces SRA accession), INSDC assembly accession (replaces GenBank accession).</t>
  </si>
  <si>
    <t>new values for experimental specimen role type</t>
  </si>
  <si>
    <t>geo_loc name (country)</t>
  </si>
  <si>
    <t>organism</t>
  </si>
  <si>
    <t>purpose of sampling</t>
  </si>
  <si>
    <t>purpose of sequencing</t>
  </si>
  <si>
    <t>purpose of sequencing details</t>
  </si>
  <si>
    <t>sample collected in quarantine</t>
  </si>
  <si>
    <t>anatomical material</t>
  </si>
  <si>
    <t>anatomical part</t>
  </si>
  <si>
    <t>body product</t>
  </si>
  <si>
    <t>environmental material</t>
  </si>
  <si>
    <t>environmental site</t>
  </si>
  <si>
    <t>collection device</t>
  </si>
  <si>
    <t>collection method</t>
  </si>
  <si>
    <t>specimen processing</t>
  </si>
  <si>
    <t>lab host</t>
  </si>
  <si>
    <t>biomaterial extracted</t>
  </si>
  <si>
    <t>host (common name)</t>
  </si>
  <si>
    <t>host (scientific name)</t>
  </si>
  <si>
    <t>host health state</t>
  </si>
  <si>
    <t>host health status details</t>
  </si>
  <si>
    <t>host health outcome</t>
  </si>
  <si>
    <t>host disease</t>
  </si>
  <si>
    <t>host age unit</t>
  </si>
  <si>
    <t>host age bin</t>
  </si>
  <si>
    <t>host gender</t>
  </si>
  <si>
    <t>signs and symptoms</t>
  </si>
  <si>
    <t>pre-existing conditions and risk factors</t>
  </si>
  <si>
    <t>complications</t>
  </si>
  <si>
    <t>host vaccination status</t>
  </si>
  <si>
    <t>exposure event</t>
  </si>
  <si>
    <t>exposure contact level</t>
  </si>
  <si>
    <t>host role</t>
  </si>
  <si>
    <t>exposure setting</t>
  </si>
  <si>
    <t>prior SARS-CoV-2 antiviral treatment</t>
  </si>
  <si>
    <t>prior SARS_CoV-2 infection</t>
  </si>
  <si>
    <t>sequencing instrument</t>
  </si>
  <si>
    <t>gene name</t>
  </si>
  <si>
    <t>variant designation</t>
  </si>
  <si>
    <t>Screened for S gene target failure (S dropout)</t>
  </si>
  <si>
    <t>Yes [NCIT:C49488]</t>
  </si>
  <si>
    <t>Contact with infected individual</t>
  </si>
  <si>
    <t>Screened for mink variants</t>
  </si>
  <si>
    <t>No [NCIT:C49487]</t>
  </si>
  <si>
    <t>Screened for B.1.1.7 variant</t>
  </si>
  <si>
    <t>Not Vaccinated [GENEPIO:0100102]</t>
  </si>
  <si>
    <t>Not Applicable [GENEPIO:0001619]</t>
  </si>
  <si>
    <t>Screened for B.1.135 variant</t>
  </si>
  <si>
    <t>Not Collected [GENEPIO:0001620]</t>
  </si>
  <si>
    <t>Screened for P.1 variant</t>
  </si>
  <si>
    <t>Not Provided [GENEPIO:0001668]</t>
  </si>
  <si>
    <t>Screened due to travel history</t>
  </si>
  <si>
    <t>Missing [GENEPIO:0001618]</t>
  </si>
  <si>
    <t>Screened due to close contact with infected individual</t>
  </si>
  <si>
    <t>Restricted Access [GENEPIO:0001810]</t>
  </si>
  <si>
    <t>Assessing public health control measures</t>
  </si>
  <si>
    <t>Determining early introductions and spread</t>
  </si>
  <si>
    <t>Investigating airline-related exposures</t>
  </si>
  <si>
    <t>Investigating temporary foreign worker</t>
  </si>
  <si>
    <t>Investigating remote regions</t>
  </si>
  <si>
    <t>Investigating health care workers</t>
  </si>
  <si>
    <t>Investigating schools/universities</t>
  </si>
  <si>
    <t>Investigating reinfection</t>
  </si>
  <si>
    <t>Other Host Role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</si>
</sst>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m/dd"/>
  </numFmts>
  <fonts count="25">
    <font>
      <sz val="10.0"/>
      <color rgb="FF000000"/>
      <name val="Arial"/>
      <scheme val="minor"/>
    </font>
    <font>
      <b/>
      <sz val="12.0"/>
      <color theme="0"/>
      <name val="Arial"/>
    </font>
    <font>
      <b/>
      <sz val="12.0"/>
      <color rgb="FFFFFFFF"/>
      <name val="Arial"/>
    </font>
    <font>
      <b/>
      <color rgb="FFFFFFFF"/>
      <name val="Arial"/>
    </font>
    <font>
      <color theme="1"/>
      <name val="Arial"/>
    </font>
    <font>
      <b/>
      <color rgb="FFFFFFFF"/>
      <name val="Arial"/>
      <scheme val="minor"/>
    </font>
    <font>
      <b/>
      <color theme="1"/>
      <name val="Arial"/>
    </font>
    <font>
      <color theme="0"/>
      <name val="Arial"/>
      <scheme val="minor"/>
    </font>
    <font>
      <sz val="12.0"/>
      <color rgb="FFFFFFFF"/>
      <name val="Arial"/>
    </font>
    <font>
      <color rgb="FFFFFFFF"/>
      <name val="Arial"/>
    </font>
    <font/>
    <font>
      <color theme="1"/>
      <name val="Arial"/>
      <scheme val="minor"/>
    </font>
    <font>
      <color rgb="FF000000"/>
      <name val="Arial"/>
    </font>
    <font>
      <b/>
      <color rgb="FF000000"/>
      <name val="Arial"/>
    </font>
    <font>
      <u/>
      <color rgb="FF0000FF"/>
    </font>
    <font>
      <b/>
      <sz val="10.0"/>
      <color rgb="FFFFFFFF"/>
      <name val="Arial"/>
    </font>
    <font>
      <sz val="9.0"/>
      <color theme="1"/>
      <name val="Arial"/>
    </font>
    <font>
      <sz val="11.0"/>
      <color rgb="FF1F1F1F"/>
      <name val="&quot;Google Sans&quot;"/>
    </font>
    <font>
      <sz val="12.0"/>
      <color rgb="FF0000FF"/>
      <name val="Arial"/>
    </font>
    <font>
      <b/>
      <u/>
      <color rgb="FF1155CC"/>
      <name val="Arial"/>
    </font>
    <font>
      <b/>
      <sz val="11.0"/>
      <color rgb="FF000000"/>
      <name val="Arial"/>
    </font>
    <font>
      <sz val="11.0"/>
      <color rgb="FF000000"/>
      <name val="Arial"/>
    </font>
    <font>
      <sz val="11.0"/>
      <color theme="1"/>
      <name val="Arial"/>
      <scheme val="minor"/>
    </font>
    <font>
      <sz val="11.0"/>
      <color rgb="FF0000FF"/>
      <name val="Arial"/>
    </font>
    <font>
      <b/>
      <sz val="11.0"/>
      <color rgb="FFFF0000"/>
      <name val="Arial"/>
    </font>
  </fonts>
  <fills count="11">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FF0000"/>
        <bgColor rgb="FFFF0000"/>
      </patternFill>
    </fill>
    <fill>
      <patternFill patternType="solid">
        <fgColor rgb="FFFCE5CD"/>
        <bgColor rgb="FFFCE5CD"/>
      </patternFill>
    </fill>
  </fills>
  <borders count="3">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2" numFmtId="0" xfId="0" applyAlignment="1" applyFont="1">
      <alignment shrinkToFit="0" vertical="top" wrapText="1"/>
    </xf>
    <xf borderId="0" fillId="2" fontId="3" numFmtId="0" xfId="0" applyAlignment="1" applyFont="1">
      <alignment shrinkToFit="0" vertical="top" wrapText="1"/>
    </xf>
    <xf borderId="0" fillId="2" fontId="4" numFmtId="0" xfId="0" applyAlignment="1" applyFont="1">
      <alignment shrinkToFit="0" vertical="top" wrapText="1"/>
    </xf>
    <xf borderId="0" fillId="2" fontId="5" numFmtId="0" xfId="0" applyAlignment="1" applyFont="1">
      <alignment readingOrder="0"/>
    </xf>
    <xf borderId="0" fillId="3" fontId="6" numFmtId="0" xfId="0" applyAlignment="1" applyFill="1" applyFont="1">
      <alignment shrinkToFit="0" vertical="top" wrapText="1"/>
    </xf>
    <xf borderId="0" fillId="0" fontId="7" numFmtId="0" xfId="0" applyFont="1"/>
    <xf borderId="0" fillId="2" fontId="4" numFmtId="0" xfId="0" applyAlignment="1" applyFont="1">
      <alignment shrinkToFit="0" vertical="bottom" wrapText="1"/>
    </xf>
    <xf borderId="0" fillId="2" fontId="8" numFmtId="0" xfId="0" applyAlignment="1" applyFont="1">
      <alignment shrinkToFit="0" vertical="bottom" wrapText="1"/>
    </xf>
    <xf borderId="0" fillId="2" fontId="4" numFmtId="0" xfId="0" applyAlignment="1" applyFont="1">
      <alignment shrinkToFit="0" vertical="bottom" wrapText="1"/>
    </xf>
    <xf borderId="0" fillId="4" fontId="6" numFmtId="0" xfId="0" applyAlignment="1" applyFill="1" applyFont="1">
      <alignment shrinkToFit="0" vertical="top" wrapText="1"/>
    </xf>
    <xf borderId="0" fillId="2" fontId="9" numFmtId="0" xfId="0" applyAlignment="1" applyFont="1">
      <alignment shrinkToFit="0" vertical="top" wrapText="1"/>
    </xf>
    <xf borderId="0" fillId="2" fontId="4" numFmtId="0" xfId="0" applyAlignment="1" applyFont="1">
      <alignment vertical="top"/>
    </xf>
    <xf borderId="0" fillId="3" fontId="4" numFmtId="0" xfId="0" applyAlignment="1" applyFont="1">
      <alignment vertical="bottom"/>
    </xf>
    <xf borderId="0" fillId="0" fontId="4" numFmtId="0" xfId="0" applyAlignment="1" applyFont="1">
      <alignment vertical="bottom"/>
    </xf>
    <xf borderId="0" fillId="3" fontId="4" numFmtId="0" xfId="0" applyAlignment="1" applyFont="1">
      <alignment shrinkToFit="0" vertical="top" wrapText="1"/>
    </xf>
    <xf borderId="0" fillId="3" fontId="4" numFmtId="0" xfId="0" applyAlignment="1" applyFont="1">
      <alignment vertical="top"/>
    </xf>
    <xf borderId="0" fillId="5" fontId="4" numFmtId="0" xfId="0" applyAlignment="1" applyFill="1" applyFont="1">
      <alignment shrinkToFit="0" vertical="top" wrapText="1"/>
    </xf>
    <xf borderId="1" fillId="2" fontId="4" numFmtId="0" xfId="0" applyAlignment="1" applyBorder="1" applyFont="1">
      <alignment shrinkToFit="0" vertical="bottom" wrapText="1"/>
    </xf>
    <xf borderId="1" fillId="6" fontId="4" numFmtId="0" xfId="0" applyAlignment="1" applyBorder="1" applyFill="1" applyFont="1">
      <alignment shrinkToFit="0" vertical="top" wrapText="1"/>
    </xf>
    <xf borderId="1" fillId="2" fontId="4" numFmtId="0" xfId="0" applyAlignment="1" applyBorder="1" applyFont="1">
      <alignment shrinkToFit="0" vertical="bottom" wrapText="1"/>
    </xf>
    <xf borderId="1" fillId="2" fontId="4" numFmtId="0" xfId="0" applyAlignment="1" applyBorder="1" applyFont="1">
      <alignment shrinkToFit="0" vertical="top" wrapText="1"/>
    </xf>
    <xf borderId="1" fillId="0" fontId="10" numFmtId="0" xfId="0" applyBorder="1" applyFont="1"/>
    <xf borderId="1" fillId="3" fontId="4" numFmtId="0" xfId="0" applyAlignment="1" applyBorder="1" applyFont="1">
      <alignment vertical="bottom"/>
    </xf>
    <xf borderId="1" fillId="0" fontId="4" numFmtId="0" xfId="0" applyAlignment="1" applyBorder="1" applyFont="1">
      <alignment vertical="bottom"/>
    </xf>
    <xf borderId="0" fillId="2" fontId="5" numFmtId="0" xfId="0" applyAlignment="1" applyFont="1">
      <alignment readingOrder="0" shrinkToFit="0" wrapText="1"/>
    </xf>
    <xf borderId="0" fillId="2" fontId="3" numFmtId="0" xfId="0" applyAlignment="1" applyFont="1">
      <alignment shrinkToFit="0" vertical="bottom" wrapText="1"/>
    </xf>
    <xf borderId="0" fillId="2" fontId="4" numFmtId="0" xfId="0" applyAlignment="1" applyFont="1">
      <alignment vertical="bottom"/>
    </xf>
    <xf borderId="0" fillId="0" fontId="11" numFmtId="0" xfId="0" applyAlignment="1" applyFont="1">
      <alignment shrinkToFit="0" wrapText="1"/>
    </xf>
    <xf borderId="0" fillId="0" fontId="11" numFmtId="0" xfId="0" applyAlignment="1" applyFont="1">
      <alignment readingOrder="0" shrinkToFit="0" wrapText="1"/>
    </xf>
    <xf borderId="0" fillId="7" fontId="6" numFmtId="0" xfId="0" applyAlignment="1" applyFill="1" applyFont="1">
      <alignment shrinkToFit="0" vertical="top" wrapText="1"/>
    </xf>
    <xf borderId="0" fillId="0" fontId="4" numFmtId="0" xfId="0" applyAlignment="1" applyFont="1">
      <alignment vertical="top"/>
    </xf>
    <xf borderId="0" fillId="0" fontId="11" numFmtId="49" xfId="0" applyAlignment="1" applyFont="1" applyNumberFormat="1">
      <alignment shrinkToFit="0" wrapText="1"/>
    </xf>
    <xf borderId="0" fillId="0" fontId="11" numFmtId="0" xfId="0" applyFont="1"/>
    <xf borderId="0" fillId="0" fontId="11" numFmtId="0" xfId="0" applyAlignment="1" applyFont="1">
      <alignment readingOrder="0"/>
    </xf>
    <xf borderId="0" fillId="0" fontId="12" numFmtId="0" xfId="0" applyAlignment="1" applyFont="1">
      <alignment shrinkToFit="0" vertical="top" wrapText="1"/>
    </xf>
    <xf borderId="0" fillId="0" fontId="11" numFmtId="164" xfId="0" applyAlignment="1" applyFont="1" applyNumberFormat="1">
      <alignment shrinkToFit="0" wrapText="1"/>
    </xf>
    <xf borderId="0" fillId="7" fontId="13" numFmtId="0" xfId="0" applyAlignment="1" applyFont="1">
      <alignment vertical="top"/>
    </xf>
    <xf borderId="0" fillId="0" fontId="11" numFmtId="49" xfId="0" applyFont="1" applyNumberFormat="1"/>
    <xf borderId="0" fillId="0" fontId="4" numFmtId="0" xfId="0" applyAlignment="1" applyFont="1">
      <alignment vertical="top"/>
    </xf>
    <xf borderId="0" fillId="0" fontId="14" numFmtId="0" xfId="0" applyAlignment="1" applyFont="1">
      <alignment shrinkToFit="0" wrapText="1"/>
    </xf>
    <xf borderId="0" fillId="0" fontId="4" numFmtId="0" xfId="0" applyAlignment="1" applyFont="1">
      <alignment vertical="bottom"/>
    </xf>
    <xf borderId="0" fillId="7" fontId="4" numFmtId="0" xfId="0" applyAlignment="1" applyFont="1">
      <alignment vertical="top"/>
    </xf>
    <xf borderId="0" fillId="0" fontId="11" numFmtId="9" xfId="0" applyAlignment="1" applyFont="1" applyNumberFormat="1">
      <alignment shrinkToFit="0" wrapText="1"/>
    </xf>
    <xf borderId="0" fillId="2" fontId="2" numFmtId="0" xfId="0" applyAlignment="1" applyFont="1">
      <alignment readingOrder="0" shrinkToFit="0" vertical="center" wrapText="1"/>
    </xf>
    <xf borderId="0" fillId="2" fontId="15" numFmtId="0" xfId="0" applyAlignment="1" applyFont="1">
      <alignment readingOrder="0" shrinkToFit="0" vertical="center" wrapText="1"/>
    </xf>
    <xf borderId="0" fillId="2" fontId="2" numFmtId="0" xfId="0" applyAlignment="1" applyFont="1">
      <alignment shrinkToFit="0" vertical="top" wrapText="1"/>
    </xf>
    <xf borderId="0" fillId="2" fontId="3" numFmtId="0" xfId="0" applyAlignment="1" applyFont="1">
      <alignment shrinkToFit="0" vertical="top" wrapText="1"/>
    </xf>
    <xf borderId="0" fillId="3" fontId="6" numFmtId="0" xfId="0" applyAlignment="1" applyFont="1">
      <alignment shrinkToFit="0" vertical="top" wrapText="1"/>
    </xf>
    <xf borderId="0" fillId="2" fontId="3" numFmtId="0" xfId="0" applyAlignment="1" applyFont="1">
      <alignment readingOrder="0" shrinkToFit="0" vertical="top" wrapText="1"/>
    </xf>
    <xf borderId="0" fillId="2" fontId="12" numFmtId="0" xfId="0" applyAlignment="1" applyFont="1">
      <alignment shrinkToFit="0" vertical="top" wrapText="1"/>
    </xf>
    <xf borderId="0" fillId="0" fontId="4"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shrinkToFit="0" vertical="top" wrapText="1"/>
    </xf>
    <xf borderId="0" fillId="0" fontId="12" numFmtId="0" xfId="0" applyAlignment="1" applyFont="1">
      <alignment readingOrder="0" shrinkToFit="0" vertical="top" wrapText="0"/>
    </xf>
    <xf borderId="0" fillId="0" fontId="12" numFmtId="0" xfId="0" applyAlignment="1" applyFont="1">
      <alignment readingOrder="0" shrinkToFit="0" vertical="top" wrapText="1"/>
    </xf>
    <xf borderId="0" fillId="0" fontId="16" numFmtId="0" xfId="0" applyAlignment="1" applyFont="1">
      <alignment shrinkToFit="0" vertical="top" wrapText="1"/>
    </xf>
    <xf borderId="0" fillId="8" fontId="4" numFmtId="0" xfId="0" applyAlignment="1" applyFill="1" applyFont="1">
      <alignment vertical="top"/>
    </xf>
    <xf borderId="0" fillId="6" fontId="17" numFmtId="0" xfId="0" applyAlignment="1" applyFont="1">
      <alignment readingOrder="0"/>
    </xf>
    <xf borderId="0" fillId="0" fontId="18" numFmtId="0" xfId="0" applyAlignment="1" applyFont="1">
      <alignment vertical="bottom"/>
    </xf>
    <xf borderId="0" fillId="0" fontId="4" numFmtId="49" xfId="0" applyAlignment="1" applyFont="1" applyNumberFormat="1">
      <alignment vertical="bottom"/>
    </xf>
    <xf borderId="2" fillId="0" fontId="6" numFmtId="0" xfId="0" applyBorder="1" applyFont="1"/>
    <xf borderId="2" fillId="0" fontId="6" numFmtId="0" xfId="0" applyAlignment="1" applyBorder="1" applyFont="1">
      <alignment horizontal="center"/>
    </xf>
    <xf borderId="2" fillId="0" fontId="19" numFmtId="0" xfId="0" applyAlignment="1" applyBorder="1" applyFont="1">
      <alignment horizontal="center" shrinkToFit="0" wrapText="1"/>
    </xf>
    <xf borderId="2" fillId="0" fontId="6" numFmtId="49" xfId="0" applyAlignment="1" applyBorder="1" applyFont="1" applyNumberFormat="1">
      <alignment horizontal="center" shrinkToFit="0" wrapText="1"/>
    </xf>
    <xf borderId="0" fillId="0" fontId="4" numFmtId="0" xfId="0" applyFont="1"/>
    <xf borderId="0" fillId="0" fontId="4" numFmtId="165" xfId="0" applyAlignment="1" applyFont="1" applyNumberFormat="1">
      <alignment horizontal="right" readingOrder="0" vertical="bottom"/>
    </xf>
    <xf borderId="0" fillId="0" fontId="4" numFmtId="0" xfId="0" applyAlignment="1" applyFont="1">
      <alignment horizontal="center" readingOrder="0" vertical="bottom"/>
    </xf>
    <xf borderId="0" fillId="0" fontId="4" numFmtId="49" xfId="0" applyAlignment="1" applyFont="1" applyNumberFormat="1">
      <alignment horizontal="center" readingOrder="0" shrinkToFit="0" vertical="bottom" wrapText="1"/>
    </xf>
    <xf borderId="0" fillId="0" fontId="4" numFmtId="49" xfId="0" applyAlignment="1" applyFont="1" applyNumberFormat="1">
      <alignment horizontal="center" readingOrder="0" vertical="bottom"/>
    </xf>
    <xf borderId="0" fillId="0" fontId="4" numFmtId="0" xfId="0" applyAlignment="1" applyFont="1">
      <alignment readingOrder="0" vertical="bottom"/>
    </xf>
    <xf borderId="0" fillId="0" fontId="4" numFmtId="165" xfId="0" applyAlignment="1" applyFont="1" applyNumberFormat="1">
      <alignment vertical="bottom"/>
    </xf>
    <xf borderId="0" fillId="0" fontId="4" numFmtId="0" xfId="0" applyAlignment="1" applyFont="1">
      <alignment horizontal="center" vertical="bottom"/>
    </xf>
    <xf borderId="0" fillId="0" fontId="20" numFmtId="0" xfId="0" applyAlignment="1" applyFont="1">
      <alignment readingOrder="0" shrinkToFit="0" vertical="bottom" wrapText="0"/>
    </xf>
    <xf borderId="0" fillId="0" fontId="21" numFmtId="0" xfId="0" applyAlignment="1" applyFont="1">
      <alignment shrinkToFit="0" vertical="bottom" wrapText="0"/>
    </xf>
    <xf borderId="0" fillId="0" fontId="21" numFmtId="0" xfId="0" applyAlignment="1" applyFont="1">
      <alignment readingOrder="0" shrinkToFit="0" vertical="bottom" wrapText="0"/>
    </xf>
    <xf borderId="0" fillId="0" fontId="21" numFmtId="0" xfId="0" applyAlignment="1" applyFont="1">
      <alignment shrinkToFit="0" vertical="bottom" wrapText="0"/>
    </xf>
    <xf borderId="0" fillId="9" fontId="22" numFmtId="0" xfId="0" applyAlignment="1" applyFill="1" applyFont="1">
      <alignment readingOrder="0"/>
    </xf>
    <xf borderId="0" fillId="0" fontId="21" numFmtId="0" xfId="0" applyAlignment="1" applyFont="1">
      <alignment readingOrder="0" shrinkToFit="0" vertical="bottom" wrapText="0"/>
    </xf>
    <xf borderId="0" fillId="6" fontId="12" numFmtId="0" xfId="0" applyAlignment="1" applyFont="1">
      <alignment horizontal="left"/>
    </xf>
    <xf borderId="0" fillId="6" fontId="21" numFmtId="0" xfId="0" applyFont="1"/>
    <xf borderId="0" fillId="10" fontId="22" numFmtId="0" xfId="0" applyAlignment="1" applyFill="1" applyFont="1">
      <alignment readingOrder="0"/>
    </xf>
    <xf borderId="0" fillId="0" fontId="23" numFmtId="0" xfId="0" applyAlignment="1" applyFont="1">
      <alignment readingOrder="0" shrinkToFit="0" vertical="bottom" wrapText="0"/>
    </xf>
    <xf borderId="0" fillId="0" fontId="23" numFmtId="0" xfId="0" applyAlignment="1" applyFont="1">
      <alignment shrinkToFit="0" vertical="bottom" wrapText="0"/>
    </xf>
    <xf borderId="0" fillId="6" fontId="23" numFmtId="0" xfId="0" applyAlignment="1" applyFont="1">
      <alignment horizontal="left" readingOrder="0"/>
    </xf>
    <xf borderId="0" fillId="0" fontId="24" numFmtId="0" xfId="0" applyAlignment="1" applyFont="1">
      <alignment readingOrder="0" shrinkToFit="0" vertical="bottom" wrapText="0"/>
    </xf>
  </cellXfs>
  <cellStyles count="1">
    <cellStyle xfId="0" name="Normal" builtinId="0"/>
  </cellStyles>
  <dxfs count="4">
    <dxf>
      <font>
        <b/>
        <color rgb="FFFFFFFF"/>
      </font>
      <fill>
        <patternFill patternType="solid">
          <fgColor rgb="FF000000"/>
          <bgColor rgb="FF000000"/>
        </patternFill>
      </fill>
      <border/>
    </dxf>
    <dxf>
      <font/>
      <fill>
        <patternFill patternType="solid">
          <fgColor rgb="FFFFFF00"/>
          <bgColor rgb="FFFFFF00"/>
        </patternFill>
      </fill>
      <border/>
    </dxf>
    <dxf>
      <font/>
      <fill>
        <patternFill patternType="solid">
          <fgColor rgb="FFD9D2E9"/>
          <bgColor rgb="FFD9D2E9"/>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bi.ac.uk/ols/ontologies/gaz" TargetMode="External"/><Relationship Id="rId2" Type="http://schemas.openxmlformats.org/officeDocument/2006/relationships/hyperlink" Target="https://github.com/phac-nml/monkeypox-nf" TargetMode="External"/><Relationship Id="rId3" Type="http://schemas.openxmlformats.org/officeDocument/2006/relationships/hyperlink" Target="https://github.com/phac-nml/monkeypox-nf"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0.13"/>
    <col customWidth="1" min="2" max="2" width="51.13"/>
    <col customWidth="1" hidden="1" min="3" max="4" width="14.63"/>
    <col customWidth="1" min="5" max="5" width="18.13"/>
    <col customWidth="1" min="6" max="6" width="49.88"/>
    <col customWidth="1" min="7" max="7" width="44.88"/>
    <col customWidth="1" min="8" max="8" width="36.5"/>
    <col customWidth="1" min="9" max="9" width="19.13"/>
    <col customWidth="1" min="10" max="10" width="15.88"/>
    <col customWidth="1" min="14" max="14" width="17.0"/>
  </cols>
  <sheetData>
    <row r="1">
      <c r="A1" s="1" t="s">
        <v>0</v>
      </c>
      <c r="B1" s="1" t="s">
        <v>1</v>
      </c>
      <c r="C1" s="1"/>
      <c r="D1" s="1"/>
      <c r="E1" s="1" t="s">
        <v>2</v>
      </c>
      <c r="F1" s="1" t="s">
        <v>3</v>
      </c>
      <c r="G1" s="1" t="s">
        <v>4</v>
      </c>
      <c r="H1" s="1" t="s">
        <v>5</v>
      </c>
      <c r="I1" s="2" t="s">
        <v>6</v>
      </c>
      <c r="J1" s="2" t="s">
        <v>7</v>
      </c>
      <c r="K1" s="3" t="s">
        <v>8</v>
      </c>
      <c r="L1" s="4"/>
      <c r="M1" s="4"/>
      <c r="N1" s="5" t="s">
        <v>9</v>
      </c>
      <c r="O1" s="6" t="s">
        <v>10</v>
      </c>
      <c r="P1" s="7"/>
      <c r="Q1" s="7"/>
      <c r="R1" s="7"/>
      <c r="S1" s="7"/>
      <c r="T1" s="7"/>
      <c r="U1" s="7"/>
      <c r="V1" s="7"/>
      <c r="W1" s="7"/>
      <c r="X1" s="7"/>
      <c r="Y1" s="7"/>
      <c r="Z1" s="7"/>
      <c r="AA1" s="7"/>
      <c r="AB1" s="7"/>
    </row>
    <row r="2">
      <c r="A2" s="8"/>
      <c r="B2" s="9" t="s">
        <v>11</v>
      </c>
      <c r="C2" s="9"/>
      <c r="D2" s="9"/>
      <c r="E2" s="8"/>
      <c r="F2" s="10"/>
      <c r="G2" s="10"/>
      <c r="H2" s="4"/>
      <c r="I2" s="11" t="s">
        <v>12</v>
      </c>
      <c r="K2" s="12" t="s">
        <v>13</v>
      </c>
      <c r="L2" s="12" t="s">
        <v>14</v>
      </c>
      <c r="M2" s="12" t="s">
        <v>15</v>
      </c>
      <c r="N2" s="13"/>
      <c r="O2" s="14"/>
      <c r="P2" s="15"/>
      <c r="Q2" s="15"/>
      <c r="R2" s="15"/>
      <c r="S2" s="15"/>
      <c r="T2" s="15"/>
      <c r="U2" s="15"/>
      <c r="V2" s="15"/>
      <c r="W2" s="15"/>
      <c r="X2" s="15"/>
      <c r="Y2" s="15"/>
      <c r="Z2" s="15"/>
      <c r="AA2" s="15"/>
      <c r="AB2" s="15"/>
    </row>
    <row r="3">
      <c r="A3" s="8"/>
      <c r="B3" s="16" t="s">
        <v>16</v>
      </c>
      <c r="C3" s="16"/>
      <c r="D3" s="16"/>
      <c r="E3" s="8"/>
      <c r="F3" s="10"/>
      <c r="G3" s="10"/>
      <c r="H3" s="4"/>
      <c r="K3" s="4"/>
      <c r="L3" s="4"/>
      <c r="M3" s="4"/>
      <c r="N3" s="13"/>
      <c r="O3" s="17"/>
      <c r="P3" s="15"/>
      <c r="Q3" s="15"/>
      <c r="R3" s="15"/>
      <c r="S3" s="15"/>
      <c r="T3" s="15"/>
      <c r="U3" s="15"/>
      <c r="V3" s="15"/>
      <c r="W3" s="15"/>
      <c r="X3" s="15"/>
      <c r="Y3" s="15"/>
      <c r="Z3" s="15"/>
      <c r="AA3" s="15"/>
      <c r="AB3" s="15"/>
    </row>
    <row r="4">
      <c r="A4" s="8"/>
      <c r="B4" s="18" t="s">
        <v>17</v>
      </c>
      <c r="C4" s="18"/>
      <c r="D4" s="18"/>
      <c r="E4" s="8"/>
      <c r="F4" s="10"/>
      <c r="G4" s="10"/>
      <c r="H4" s="4"/>
      <c r="K4" s="10"/>
      <c r="L4" s="10"/>
      <c r="M4" s="10"/>
      <c r="N4" s="13"/>
      <c r="O4" s="14"/>
      <c r="P4" s="15"/>
      <c r="Q4" s="15"/>
      <c r="R4" s="15"/>
      <c r="S4" s="15"/>
      <c r="T4" s="15"/>
      <c r="U4" s="15"/>
      <c r="V4" s="15"/>
      <c r="W4" s="15"/>
      <c r="X4" s="15"/>
      <c r="Y4" s="15"/>
      <c r="Z4" s="15"/>
      <c r="AA4" s="15"/>
      <c r="AB4" s="15"/>
    </row>
    <row r="5">
      <c r="A5" s="19"/>
      <c r="B5" s="20" t="s">
        <v>18</v>
      </c>
      <c r="C5" s="20"/>
      <c r="D5" s="20"/>
      <c r="E5" s="19"/>
      <c r="F5" s="21"/>
      <c r="G5" s="21"/>
      <c r="H5" s="22"/>
      <c r="I5" s="23"/>
      <c r="J5" s="23"/>
      <c r="K5" s="21"/>
      <c r="L5" s="21"/>
      <c r="M5" s="21"/>
      <c r="N5" s="13"/>
      <c r="O5" s="24"/>
      <c r="P5" s="25"/>
      <c r="Q5" s="25"/>
      <c r="R5" s="25"/>
      <c r="S5" s="25"/>
      <c r="T5" s="25"/>
      <c r="U5" s="25"/>
      <c r="V5" s="25"/>
      <c r="W5" s="25"/>
      <c r="X5" s="25"/>
      <c r="Y5" s="25"/>
      <c r="Z5" s="25"/>
      <c r="AA5" s="25"/>
      <c r="AB5" s="25"/>
    </row>
    <row r="6">
      <c r="A6" s="26" t="str">
        <f>IFERROR(__xludf.DUMMYFUNCTION("IMPORTRANGE(""https://docs.google.com/spreadsheets/d/1jPQAIJcL_xa3oBVFEsYRGLGf7ESTOwzsTSjKZ-0CTYE/edit?gid=1995294799#gid=1995294799"",""MPox-slots!B2:B"")"),"")</f>
        <v/>
      </c>
      <c r="B6" s="27" t="str">
        <f>IFERROR(__xludf.DUMMYFUNCTION("IMPORTRANGE(""https://docs.google.com/spreadsheets/d/1jPQAIJcL_xa3oBVFEsYRGLGf7ESTOwzsTSjKZ-0CTYE/edit?gid=1995294799#gid=1995294799"",""MPox-slots!D2:D"")"),"Database Identifiers")</f>
        <v>Database Identifiers</v>
      </c>
      <c r="C6" s="28" t="str">
        <f>IFERROR(__xludf.DUMMYFUNCTION("IMPORTRANGE(""https://docs.google.com/spreadsheets/d/1jPQAIJcL_xa3oBVFEsYRGLGf7ESTOwzsTSjKZ-0CTYE/edit?gid=1995294799#gid=1995294799"",""MPox-slots!J2:J"")"),"")</f>
        <v/>
      </c>
      <c r="D6" s="28" t="str">
        <f>IFERROR(__xludf.DUMMYFUNCTION("IMPORTRANGE(""https://docs.google.com/spreadsheets/d/1jPQAIJcL_xa3oBVFEsYRGLGf7ESTOwzsTSjKZ-0CTYE/edit?gid=1995294799#gid=1995294799"",""MPox-slots!K2:K"")"),"")</f>
        <v/>
      </c>
      <c r="E6" s="27" t="str">
        <f>IFERROR(__xludf.DUMMYFUNCTION("IMPORTRANGE(""https://docs.google.com/spreadsheets/d/1jPQAIJcL_xa3oBVFEsYRGLGf7ESTOwzsTSjKZ-0CTYE/edit?gid=1995294799#gid=1995294799"",""MPox-slots!C2:C"")"),"GENEPIO:0001122")</f>
        <v>GENEPIO:0001122</v>
      </c>
      <c r="F6" s="10" t="str">
        <f>IFERROR(__xludf.DUMMYFUNCTION("IMPORTRANGE(""https://docs.google.com/spreadsheets/d/1jPQAIJcL_xa3oBVFEsYRGLGf7ESTOwzsTSjKZ-0CTYE/edit?gid=1995294799#gid=1995294799"",""MPox-slots!P2:P"")"),"")</f>
        <v/>
      </c>
      <c r="G6" s="10" t="str">
        <f>IFERROR(__xludf.DUMMYFUNCTION("IMPORTRANGE(""https://docs.google.com/spreadsheets/d/1jPQAIJcL_xa3oBVFEsYRGLGf7ESTOwzsTSjKZ-0CTYE/edit?gid=1995294799#gid=1995294799"",""MPox-slots!Q2:Q"")"),"")</f>
        <v/>
      </c>
      <c r="H6" s="10" t="str">
        <f>IFERROR(__xludf.DUMMYFUNCTION("IMPORTRANGE(""https://docs.google.com/spreadsheets/d/1jPQAIJcL_xa3oBVFEsYRGLGf7ESTOwzsTSjKZ-0CTYE/edit?gid=1995294799#gid=1995294799"",""MPox-slots!R2:R"")"),"")</f>
        <v/>
      </c>
      <c r="I6" s="29"/>
      <c r="J6" s="29"/>
      <c r="K6" s="29"/>
      <c r="L6" s="29"/>
      <c r="M6" s="29"/>
      <c r="N6" s="26" t="str">
        <f>IFERROR(__xludf.DUMMYFUNCTION("IMPORTRANGE(""https://docs.google.com/spreadsheets/d/1jPQAIJcL_xa3oBVFEsYRGLGf7ESTOwzsTSjKZ-0CTYE/edit?gid=1995294799#gid=1995294799"",""MPox-slots!A2:A"")"),"Mpox;Mpox_international")</f>
        <v>Mpox;Mpox_international</v>
      </c>
    </row>
    <row r="7">
      <c r="A7" s="29" t="str">
        <f>IFERROR(__xludf.DUMMYFUNCTION("""COMPUTED_VALUE"""),"Database Identifiers")</f>
        <v>Database Identifiers</v>
      </c>
      <c r="B7" s="29" t="str">
        <f>IFERROR(__xludf.DUMMYFUNCTION("""COMPUTED_VALUE"""),"specimen collector sample ID")</f>
        <v>specimen collector sample ID</v>
      </c>
      <c r="C7" s="29" t="b">
        <f>IFERROR(__xludf.DUMMYFUNCTION("""COMPUTED_VALUE"""),TRUE)</f>
        <v>1</v>
      </c>
      <c r="D7" s="29" t="str">
        <f>IFERROR(__xludf.DUMMYFUNCTION("""COMPUTED_VALUE"""),"")</f>
        <v/>
      </c>
      <c r="E7" s="29" t="str">
        <f>IFERROR(__xludf.DUMMYFUNCTION("""COMPUTED_VALUE"""),"GENEPIO:0001123")</f>
        <v>GENEPIO:0001123</v>
      </c>
      <c r="F7" s="29" t="str">
        <f>IFERROR(__xludf.DUMMYFUNCTION("""COMPUTED_VALUE"""),"The user-defined name for the sample.")</f>
        <v>The user-defined name for the sample.</v>
      </c>
      <c r="G7" s="29" t="str">
        <f>IFERROR(__xludf.DUMMYFUNCTION("""COMPUTED_VALUE"""),"Store the collector sample ID. If this number is considered identifiable information, provide an alternative ID. Be sure to store the key that maps between the original and alternative IDs for traceability and follow up if necessary. Every collector sampl"&amp;"e ID from a single submitter must be unique. It can have any format, but we suggest that you make it concise, unique and consistent within your lab.")</f>
        <v>Store the collector sample ID. If this number is considered identifiable information, provide an alternative ID. Be sure to store the key that maps between the original and alternative IDs for traceability and follow up if necessary. Every collector sample ID from a single submitter must be unique. It can have any format, but we suggest that you make it concise, unique and consistent within your lab.</v>
      </c>
      <c r="H7" s="29" t="str">
        <f>IFERROR(__xludf.DUMMYFUNCTION("""COMPUTED_VALUE"""),"prov_mpox_1234")</f>
        <v>prov_mpox_1234</v>
      </c>
      <c r="I7" s="29"/>
      <c r="J7" s="29"/>
      <c r="K7" s="30" t="s">
        <v>19</v>
      </c>
      <c r="L7" s="30" t="s">
        <v>19</v>
      </c>
      <c r="M7" s="30" t="s">
        <v>19</v>
      </c>
      <c r="N7" s="31" t="str">
        <f>IFERROR(__xludf.DUMMYFUNCTION("""COMPUTED_VALUE"""),"Mpox;Mpox_international")</f>
        <v>Mpox;Mpox_international</v>
      </c>
    </row>
    <row r="8">
      <c r="A8" s="29" t="str">
        <f>IFERROR(__xludf.DUMMYFUNCTION("""COMPUTED_VALUE"""),"Database Identifiers")</f>
        <v>Database Identifiers</v>
      </c>
      <c r="B8" s="29" t="str">
        <f>IFERROR(__xludf.DUMMYFUNCTION("""COMPUTED_VALUE"""),"Related specimen primary ID")</f>
        <v>Related specimen primary ID</v>
      </c>
      <c r="C8" s="29" t="str">
        <f>IFERROR(__xludf.DUMMYFUNCTION("""COMPUTED_VALUE"""),"")</f>
        <v/>
      </c>
      <c r="D8" s="29" t="str">
        <f>IFERROR(__xludf.DUMMYFUNCTION("""COMPUTED_VALUE"""),"")</f>
        <v/>
      </c>
      <c r="E8" s="29" t="str">
        <f>IFERROR(__xludf.DUMMYFUNCTION("""COMPUTED_VALUE"""),"GENEPIO:0001128")</f>
        <v>GENEPIO:0001128</v>
      </c>
      <c r="F8" s="29" t="str">
        <f>IFERROR(__xludf.DUMMYFUNCTION("""COMPUTED_VALUE"""),"The primary ID of a related specimen previously submitted to the repository.")</f>
        <v>The primary ID of a related specimen previously submitted to the repository.</v>
      </c>
      <c r="G8" s="29" t="str">
        <f>IFERROR(__xludf.DUMMYFUNCTION("""COMPUTED_VALUE"""),"Store the primary ID of the related specimen previously submitted to the National Microbiology Laboratory so that the samples can be linked and tracked through the system.")</f>
        <v>Store the primary ID of the related specimen previously submitted to the National Microbiology Laboratory so that the samples can be linked and tracked through the system.</v>
      </c>
      <c r="H8" s="29" t="str">
        <f>IFERROR(__xludf.DUMMYFUNCTION("""COMPUTED_VALUE"""),"SR20-12345")</f>
        <v>SR20-12345</v>
      </c>
      <c r="I8" s="29"/>
      <c r="J8" s="29"/>
      <c r="K8" s="30" t="s">
        <v>19</v>
      </c>
      <c r="L8" s="30" t="s">
        <v>19</v>
      </c>
      <c r="M8" s="30" t="s">
        <v>19</v>
      </c>
      <c r="N8" s="32" t="str">
        <f>IFERROR(__xludf.DUMMYFUNCTION("""COMPUTED_VALUE"""),"Mpox")</f>
        <v>Mpox</v>
      </c>
    </row>
    <row r="9">
      <c r="A9" s="29" t="str">
        <f>IFERROR(__xludf.DUMMYFUNCTION("""COMPUTED_VALUE"""),"Database Identifiers")</f>
        <v>Database Identifiers</v>
      </c>
      <c r="B9" s="29" t="str">
        <f>IFERROR(__xludf.DUMMYFUNCTION("""COMPUTED_VALUE"""),"case ID")</f>
        <v>case ID</v>
      </c>
      <c r="C9" s="29"/>
      <c r="D9" s="29"/>
      <c r="E9" s="29" t="str">
        <f>IFERROR(__xludf.DUMMYFUNCTION("""COMPUTED_VALUE"""),"GENEPIO:0100281")</f>
        <v>GENEPIO:0100281</v>
      </c>
      <c r="F9" s="29" t="str">
        <f>IFERROR(__xludf.DUMMYFUNCTION("""COMPUTED_VALUE"""),"The identifier used to specify an epidemiologically detected case of disease.")</f>
        <v>The identifier used to specify an epidemiologically detected case of disease.</v>
      </c>
      <c r="G9" s="29" t="str">
        <f>IFERROR(__xludf.DUMMYFUNCTION("""COMPUTED_VALUE"""),"Provide the case identifer. The case ID greatly facilitates linkage between laboratory and epidemiological data. The case ID may be considered identifiable information. Consult the data steward before sharing.")</f>
        <v>Provide the case identifer. The case ID greatly facilitates linkage between laboratory and epidemiological data. The case ID may be considered identifiable information. Consult the data steward before sharing.</v>
      </c>
      <c r="H9" s="29" t="str">
        <f>IFERROR(__xludf.DUMMYFUNCTION("""COMPUTED_VALUE"""),"ABCD1234")</f>
        <v>ABCD1234</v>
      </c>
      <c r="I9" s="29"/>
      <c r="J9" s="29"/>
      <c r="K9" s="30" t="s">
        <v>19</v>
      </c>
      <c r="L9" s="30" t="s">
        <v>19</v>
      </c>
      <c r="M9" s="30" t="s">
        <v>19</v>
      </c>
      <c r="N9" s="31" t="str">
        <f>IFERROR(__xludf.DUMMYFUNCTION("""COMPUTED_VALUE"""),"Mpox;Mpox_international")</f>
        <v>Mpox;Mpox_international</v>
      </c>
    </row>
    <row r="10">
      <c r="A10" s="29" t="str">
        <f>IFERROR(__xludf.DUMMYFUNCTION("""COMPUTED_VALUE"""),"Database Identifiers")</f>
        <v>Database Identifiers</v>
      </c>
      <c r="B10" s="29" t="str">
        <f>IFERROR(__xludf.DUMMYFUNCTION("""COMPUTED_VALUE"""),"bioproject accession")</f>
        <v>bioproject accession</v>
      </c>
      <c r="C10" s="29"/>
      <c r="D10" s="29"/>
      <c r="E10" s="29" t="str">
        <f>IFERROR(__xludf.DUMMYFUNCTION("""COMPUTED_VALUE"""),"GENEPIO:0001136")</f>
        <v>GENEPIO:0001136</v>
      </c>
      <c r="F10" s="29" t="str">
        <f>IFERROR(__xludf.DUMMYFUNCTION("""COMPUTED_VALUE"""),"The INSDC accession number of the BioProject(s) to which the BioSample belongs.")</f>
        <v>The INSDC accession number of the BioProject(s) to which the BioSample belongs.</v>
      </c>
      <c r="G10" s="29" t="str">
        <f>IFERROR(__xludf.DUMMYFUNCTION("""COMPUTED_VALUE"""),"Required if submission is linked to a BioProject. BioProjects are an organizing tool that links together raw sequence data, assemblies, and their associated metadata. A valid BioProject accession has prefix PRJN, PRJE or PRJD, e.g., PRJNA12345 and is crea"&amp;"ted once at the beginning of a new sequencing project. Your laboratory can have one or many BioProjects.")</f>
        <v>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v>
      </c>
      <c r="H10" s="29" t="str">
        <f>IFERROR(__xludf.DUMMYFUNCTION("""COMPUTED_VALUE"""),"PRJNA12345")</f>
        <v>PRJNA12345</v>
      </c>
      <c r="I10" s="29"/>
      <c r="J10" s="29"/>
      <c r="K10" s="30" t="s">
        <v>19</v>
      </c>
      <c r="L10" s="30" t="s">
        <v>19</v>
      </c>
      <c r="M10" s="30" t="s">
        <v>19</v>
      </c>
      <c r="N10" s="31" t="str">
        <f>IFERROR(__xludf.DUMMYFUNCTION("""COMPUTED_VALUE"""),"Mpox;Mpox_international")</f>
        <v>Mpox;Mpox_international</v>
      </c>
    </row>
    <row r="11">
      <c r="A11" s="29" t="str">
        <f>IFERROR(__xludf.DUMMYFUNCTION("""COMPUTED_VALUE"""),"Database Identifiers")</f>
        <v>Database Identifiers</v>
      </c>
      <c r="B11" s="29" t="str">
        <f>IFERROR(__xludf.DUMMYFUNCTION("""COMPUTED_VALUE"""),"biosample accession")</f>
        <v>biosample accession</v>
      </c>
      <c r="C11" s="29"/>
      <c r="D11" s="29"/>
      <c r="E11" s="29" t="str">
        <f>IFERROR(__xludf.DUMMYFUNCTION("""COMPUTED_VALUE"""),"GENEPIO:0001139")</f>
        <v>GENEPIO:0001139</v>
      </c>
      <c r="F11" s="29" t="str">
        <f>IFERROR(__xludf.DUMMYFUNCTION("""COMPUTED_VALUE"""),"The identifier assigned to a BioSample in INSDC archives.")</f>
        <v>The identifier assigned to a BioSample in INSDC archives.</v>
      </c>
      <c r="G11" s="29" t="str">
        <f>IFERROR(__xludf.DUMMYFUNCTION("""COMPUTED_VALUE"""),"Store the accession returned from the BioSample submission. NCBI BioSamples will have the prefix SAMN, while ENA BioSamples will have the prefix SAMEA.")</f>
        <v>Store the accession returned from the BioSample submission. NCBI BioSamples will have the prefix SAMN, while ENA BioSamples will have the prefix SAMEA.</v>
      </c>
      <c r="H11" s="29" t="str">
        <f>IFERROR(__xludf.DUMMYFUNCTION("""COMPUTED_VALUE"""),"SAMN14180202")</f>
        <v>SAMN14180202</v>
      </c>
      <c r="I11" s="29"/>
      <c r="J11" s="29"/>
      <c r="K11" s="30" t="s">
        <v>19</v>
      </c>
      <c r="L11" s="30" t="s">
        <v>19</v>
      </c>
      <c r="M11" s="30" t="s">
        <v>19</v>
      </c>
      <c r="N11" s="31" t="str">
        <f>IFERROR(__xludf.DUMMYFUNCTION("""COMPUTED_VALUE"""),"Mpox;Mpox_international")</f>
        <v>Mpox;Mpox_international</v>
      </c>
    </row>
    <row r="12">
      <c r="A12" s="29" t="str">
        <f>IFERROR(__xludf.DUMMYFUNCTION("""COMPUTED_VALUE"""),"Database identifiers")</f>
        <v>Database identifiers</v>
      </c>
      <c r="B12" s="29" t="str">
        <f>IFERROR(__xludf.DUMMYFUNCTION("""COMPUTED_VALUE"""),"INSDC sequence read accession")</f>
        <v>INSDC sequence read accession</v>
      </c>
      <c r="C12" s="29"/>
      <c r="D12" s="29"/>
      <c r="E12" s="33" t="str">
        <f>IFERROR(__xludf.DUMMYFUNCTION("""COMPUTED_VALUE"""),"GENEPIO:0101203")</f>
        <v>GENEPIO:0101203</v>
      </c>
      <c r="F12" s="29" t="str">
        <f>IFERROR(__xludf.DUMMYFUNCTION("""COMPUTED_VALUE"""),"The identifier assigned to a sequence in one of the International Nucleotide Sequence Database Collaboration (INSDC) repositories.")</f>
        <v>The identifier assigned to a sequence in one of the International Nucleotide Sequence Database Collaboration (INSDC) repositories.</v>
      </c>
      <c r="G12" s="29" t="str">
        <f>IFERROR(__xludf.DUMMYFUNCTION("""COMPUTED_VALUE"""),"Store the accession assigned to the submitted sequence. European Nucleotide Archive (ENA) sequence accessions start with ERR, NCBI-SRA accessions start with SRR,  DNA Data Bank of Japan (DDBJ) accessions start with DRR and Genome Sequence Archive (GSA) ac"&amp;"cessions start with CRR.")</f>
        <v>Store the accession assigned to the submitted sequence. European Nucleotide Archive (ENA) sequence accessions start with ERR, NCBI-SRA accessions start with SRR,  DNA Data Bank of Japan (DDBJ) accessions start with DRR and Genome Sequence Archive (GSA) accessions start with CRR.</v>
      </c>
      <c r="H12" s="29" t="str">
        <f>IFERROR(__xludf.DUMMYFUNCTION("""COMPUTED_VALUE"""),"SRR123456, ERR123456, DRR123456, CRR123456")</f>
        <v>SRR123456, ERR123456, DRR123456, CRR123456</v>
      </c>
      <c r="I12" s="29"/>
      <c r="J12" s="29"/>
      <c r="K12" s="30" t="s">
        <v>20</v>
      </c>
      <c r="L12" s="30" t="s">
        <v>19</v>
      </c>
      <c r="M12" s="30" t="s">
        <v>19</v>
      </c>
      <c r="N12" s="31" t="str">
        <f>IFERROR(__xludf.DUMMYFUNCTION("""COMPUTED_VALUE"""),"Mpox;Mpox_international")</f>
        <v>Mpox;Mpox_international</v>
      </c>
    </row>
    <row r="13">
      <c r="A13" s="29" t="str">
        <f>IFERROR(__xludf.DUMMYFUNCTION("""COMPUTED_VALUE"""),"Database identifiers")</f>
        <v>Database identifiers</v>
      </c>
      <c r="B13" s="29" t="str">
        <f>IFERROR(__xludf.DUMMYFUNCTION("""COMPUTED_VALUE"""),"INSDC assembly accession")</f>
        <v>INSDC assembly accession</v>
      </c>
      <c r="C13" s="29"/>
      <c r="D13" s="29"/>
      <c r="E13" s="33" t="str">
        <f>IFERROR(__xludf.DUMMYFUNCTION("""COMPUTED_VALUE"""),"GENEPIO:0101204")</f>
        <v>GENEPIO:0101204</v>
      </c>
      <c r="F13" s="29" t="str">
        <f>IFERROR(__xludf.DUMMYFUNCTION("""COMPUTED_VALUE"""),"The versioned identifier assigned to an assembly or consensus sequence in  one of the International Nucleotide Sequence Database Collaboration (INSDC) repositories.")</f>
        <v>The versioned identifier assigned to an assembly or consensus sequence in  one of the International Nucleotide Sequence Database Collaboration (INSDC) repositories.</v>
      </c>
      <c r="G13" s="29" t="str">
        <f>IFERROR(__xludf.DUMMYFUNCTION("""COMPUTED_VALUE"""),"Store the versioned accession assigned to the submitted sequence e.g. the GenBank accession version.")</f>
        <v>Store the versioned accession assigned to the submitted sequence e.g. the GenBank accession version.</v>
      </c>
      <c r="H13" s="29" t="str">
        <f>IFERROR(__xludf.DUMMYFUNCTION("""COMPUTED_VALUE"""),"LZ986655.1")</f>
        <v>LZ986655.1</v>
      </c>
      <c r="I13" s="29"/>
      <c r="J13" s="29"/>
      <c r="K13" s="30" t="s">
        <v>20</v>
      </c>
      <c r="L13" s="30" t="s">
        <v>19</v>
      </c>
      <c r="M13" s="30" t="s">
        <v>19</v>
      </c>
      <c r="N13" s="31" t="str">
        <f>IFERROR(__xludf.DUMMYFUNCTION("""COMPUTED_VALUE"""),"Mpox;Mpox_international")</f>
        <v>Mpox;Mpox_international</v>
      </c>
    </row>
    <row r="14">
      <c r="A14" s="34" t="str">
        <f>IFERROR(__xludf.DUMMYFUNCTION("""COMPUTED_VALUE"""),"Database Identifiers")</f>
        <v>Database Identifiers</v>
      </c>
      <c r="B14" s="34" t="str">
        <f>IFERROR(__xludf.DUMMYFUNCTION("""COMPUTED_VALUE"""),"GISAID virus name")</f>
        <v>GISAID virus name</v>
      </c>
      <c r="C14" s="34"/>
      <c r="D14" s="34"/>
      <c r="E14" s="34" t="str">
        <f>IFERROR(__xludf.DUMMYFUNCTION("""COMPUTED_VALUE"""),"GENEPIO:0100282")</f>
        <v>GENEPIO:0100282</v>
      </c>
      <c r="F14" s="34" t="str">
        <f>IFERROR(__xludf.DUMMYFUNCTION("""COMPUTED_VALUE"""),"Identifier of the specific isolate.")</f>
        <v>Identifier of the specific isolate.</v>
      </c>
      <c r="G14" s="34"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14" s="34" t="str">
        <f>IFERROR(__xludf.DUMMYFUNCTION("""COMPUTED_VALUE"""),"hMpxV/Canada/UN-NML-12345/2022")</f>
        <v>hMpxV/Canada/UN-NML-12345/2022</v>
      </c>
      <c r="K14" s="35" t="s">
        <v>19</v>
      </c>
      <c r="L14" s="35" t="s">
        <v>19</v>
      </c>
      <c r="M14" s="35" t="s">
        <v>19</v>
      </c>
      <c r="N14" s="36" t="str">
        <f>IFERROR(__xludf.DUMMYFUNCTION("""COMPUTED_VALUE"""),"Mpox_international")</f>
        <v>Mpox_international</v>
      </c>
    </row>
    <row r="15">
      <c r="A15" s="29" t="str">
        <f>IFERROR(__xludf.DUMMYFUNCTION("""COMPUTED_VALUE"""),"Database Identifiers")</f>
        <v>Database Identifiers</v>
      </c>
      <c r="B15" s="29" t="str">
        <f>IFERROR(__xludf.DUMMYFUNCTION("""COMPUTED_VALUE"""),"GISAID accession")</f>
        <v>GISAID accession</v>
      </c>
      <c r="C15" s="29" t="str">
        <f>IFERROR(__xludf.DUMMYFUNCTION("""COMPUTED_VALUE"""),"")</f>
        <v/>
      </c>
      <c r="D15" s="29" t="str">
        <f>IFERROR(__xludf.DUMMYFUNCTION("""COMPUTED_VALUE"""),"")</f>
        <v/>
      </c>
      <c r="E15" s="29" t="str">
        <f>IFERROR(__xludf.DUMMYFUNCTION("""COMPUTED_VALUE"""),"GENEPIO:0001147")</f>
        <v>GENEPIO:0001147</v>
      </c>
      <c r="F15" s="29" t="str">
        <f>IFERROR(__xludf.DUMMYFUNCTION("""COMPUTED_VALUE"""),"The GISAID accession number assigned to the sequence.")</f>
        <v>The GISAID accession number assigned to the sequence.</v>
      </c>
      <c r="G15" s="29" t="str">
        <f>IFERROR(__xludf.DUMMYFUNCTION("""COMPUTED_VALUE"""),"Store the accession returned from the GISAID submission.")</f>
        <v>Store the accession returned from the GISAID submission.</v>
      </c>
      <c r="H15" s="29" t="str">
        <f>IFERROR(__xludf.DUMMYFUNCTION("""COMPUTED_VALUE"""),"EPI_ISL_436489")</f>
        <v>EPI_ISL_436489</v>
      </c>
      <c r="I15" s="29"/>
      <c r="J15" s="29"/>
      <c r="K15" s="30" t="s">
        <v>19</v>
      </c>
      <c r="L15" s="30" t="s">
        <v>19</v>
      </c>
      <c r="M15" s="30" t="s">
        <v>19</v>
      </c>
      <c r="N15" s="31" t="str">
        <f>IFERROR(__xludf.DUMMYFUNCTION("""COMPUTED_VALUE"""),"Mpox;Mpox_international")</f>
        <v>Mpox;Mpox_international</v>
      </c>
    </row>
    <row r="16">
      <c r="A16" s="29"/>
      <c r="B16" s="29" t="str">
        <f>IFERROR(__xludf.DUMMYFUNCTION("""COMPUTED_VALUE"""),"Sample collection and processing")</f>
        <v>Sample collection and processing</v>
      </c>
      <c r="C16" s="29" t="str">
        <f>IFERROR(__xludf.DUMMYFUNCTION("""COMPUTED_VALUE"""),"")</f>
        <v/>
      </c>
      <c r="D16" s="29" t="str">
        <f>IFERROR(__xludf.DUMMYFUNCTION("""COMPUTED_VALUE"""),"")</f>
        <v/>
      </c>
      <c r="E16" s="29" t="str">
        <f>IFERROR(__xludf.DUMMYFUNCTION("""COMPUTED_VALUE"""),"GENEPIO:0001150")</f>
        <v>GENEPIO:0001150</v>
      </c>
      <c r="F16" s="29"/>
      <c r="G16" s="29"/>
      <c r="H16" s="29"/>
      <c r="I16" s="29"/>
      <c r="J16" s="29"/>
      <c r="K16" s="29"/>
      <c r="L16" s="29"/>
      <c r="M16" s="29"/>
      <c r="N16" s="31" t="str">
        <f>IFERROR(__xludf.DUMMYFUNCTION("""COMPUTED_VALUE"""),"Mpox;Mpox_international")</f>
        <v>Mpox;Mpox_international</v>
      </c>
    </row>
    <row r="17">
      <c r="A17" s="29" t="str">
        <f>IFERROR(__xludf.DUMMYFUNCTION("""COMPUTED_VALUE"""),"Sample collection and processing")</f>
        <v>Sample collection and processing</v>
      </c>
      <c r="B17" s="29" t="str">
        <f>IFERROR(__xludf.DUMMYFUNCTION("""COMPUTED_VALUE"""),"sample collected by")</f>
        <v>sample collected by</v>
      </c>
      <c r="C17" s="29" t="b">
        <f>IFERROR(__xludf.DUMMYFUNCTION("""COMPUTED_VALUE"""),TRUE)</f>
        <v>1</v>
      </c>
      <c r="D17" s="29" t="str">
        <f>IFERROR(__xludf.DUMMYFUNCTION("""COMPUTED_VALUE"""),"")</f>
        <v/>
      </c>
      <c r="E17" s="29" t="str">
        <f>IFERROR(__xludf.DUMMYFUNCTION("""COMPUTED_VALUE"""),"GENEPIO:0001153")</f>
        <v>GENEPIO:0001153</v>
      </c>
      <c r="F17" s="29" t="str">
        <f>IFERROR(__xludf.DUMMYFUNCTION("""COMPUTED_VALUE"""),"The name of the agency that collected the original sample.")</f>
        <v>The name of the agency that collected the original sample.</v>
      </c>
      <c r="G17" s="29"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7" s="29" t="str">
        <f>IFERROR(__xludf.DUMMYFUNCTION("""COMPUTED_VALUE"""),"BC Centre for Disease Control")</f>
        <v>BC Centre for Disease Control</v>
      </c>
      <c r="I17" s="29"/>
      <c r="J17" s="29"/>
      <c r="K17" s="30" t="s">
        <v>19</v>
      </c>
      <c r="L17" s="30" t="s">
        <v>19</v>
      </c>
      <c r="M17" s="30" t="s">
        <v>19</v>
      </c>
      <c r="N17" s="36" t="str">
        <f>IFERROR(__xludf.DUMMYFUNCTION("""COMPUTED_VALUE"""),"Mpox")</f>
        <v>Mpox</v>
      </c>
    </row>
    <row r="18">
      <c r="A18" s="34" t="str">
        <f>IFERROR(__xludf.DUMMYFUNCTION("""COMPUTED_VALUE"""),"Sample collection and processing")</f>
        <v>Sample collection and processing</v>
      </c>
      <c r="B18" s="34" t="str">
        <f>IFERROR(__xludf.DUMMYFUNCTION("""COMPUTED_VALUE"""),"sample collected by")</f>
        <v>sample collected by</v>
      </c>
      <c r="C18" s="34" t="b">
        <f>IFERROR(__xludf.DUMMYFUNCTION("""COMPUTED_VALUE"""),TRUE)</f>
        <v>1</v>
      </c>
      <c r="D18" s="34"/>
      <c r="E18" s="34" t="str">
        <f>IFERROR(__xludf.DUMMYFUNCTION("""COMPUTED_VALUE"""),"GENEPIO:0001153")</f>
        <v>GENEPIO:0001153</v>
      </c>
      <c r="F18" s="34" t="str">
        <f>IFERROR(__xludf.DUMMYFUNCTION("""COMPUTED_VALUE"""),"The name of the agency that collected the original sample.")</f>
        <v>The name of the agency that collected the original sample.</v>
      </c>
      <c r="G18" s="34" t="str">
        <f>IFERROR(__xludf.DUMMYFUNCTION("""COMPUTED_VALUE"""),"The name of the sample collector should be written out in full, (with minor exceptions) and be consistent across multple submissions e.g. Public Health Agency of Canada, Public Health Ontario, BC Centre for Disease Control. The sample collector specified "&amp;"is at the discretion of the data provider (i.e. may be hospital, provincial public health lab, or other).")</f>
        <v>The name of the sample collector should be written out in full, (with minor exceptions) and be consistent across multple submissions e.g. Public Health Agency of Canada, Public Health Ontario, BC Centre for Disease Control. The sample collector specified is at the discretion of the data provider (i.e. may be hospital, provincial public health lab, or other).</v>
      </c>
      <c r="H18" s="34" t="str">
        <f>IFERROR(__xludf.DUMMYFUNCTION("""COMPUTED_VALUE"""),"BC Centre for Disease Control")</f>
        <v>BC Centre for Disease Control</v>
      </c>
      <c r="K18" s="35" t="s">
        <v>19</v>
      </c>
      <c r="L18" s="35" t="s">
        <v>19</v>
      </c>
      <c r="M18" s="35" t="s">
        <v>19</v>
      </c>
      <c r="N18" s="36" t="str">
        <f>IFERROR(__xludf.DUMMYFUNCTION("""COMPUTED_VALUE"""),"Mpox_international")</f>
        <v>Mpox_international</v>
      </c>
    </row>
    <row r="19">
      <c r="A19" s="29" t="str">
        <f>IFERROR(__xludf.DUMMYFUNCTION("""COMPUTED_VALUE"""),"Sample collection and processing")</f>
        <v>Sample collection and processing</v>
      </c>
      <c r="B19" s="29" t="str">
        <f>IFERROR(__xludf.DUMMYFUNCTION("""COMPUTED_VALUE"""),"sample collector contact email")</f>
        <v>sample collector contact email</v>
      </c>
      <c r="C19" s="29" t="str">
        <f>IFERROR(__xludf.DUMMYFUNCTION("""COMPUTED_VALUE"""),"")</f>
        <v/>
      </c>
      <c r="D19" s="29" t="str">
        <f>IFERROR(__xludf.DUMMYFUNCTION("""COMPUTED_VALUE"""),"")</f>
        <v/>
      </c>
      <c r="E19" s="29" t="str">
        <f>IFERROR(__xludf.DUMMYFUNCTION("""COMPUTED_VALUE"""),"GENEPIO:0001156")</f>
        <v>GENEPIO:0001156</v>
      </c>
      <c r="F19" s="29" t="str">
        <f>IFERROR(__xludf.DUMMYFUNCTION("""COMPUTED_VALUE"""),"The email address of the contact responsible for follow-up regarding the sample.")</f>
        <v>The email address of the contact responsible for follow-up regarding the sample.</v>
      </c>
      <c r="G19" s="29" t="str">
        <f>IFERROR(__xludf.DUMMYFUNCTION("""COMPUTED_VALUE"""),"The email address can represent a specific individual or lab e.g. johnnyblogs@lab.ca, or RespLab@lab.ca")</f>
        <v>The email address can represent a specific individual or lab e.g. johnnyblogs@lab.ca, or RespLab@lab.ca</v>
      </c>
      <c r="H19" s="29" t="str">
        <f>IFERROR(__xludf.DUMMYFUNCTION("""COMPUTED_VALUE"""),"RespLab@lab.ca")</f>
        <v>RespLab@lab.ca</v>
      </c>
      <c r="I19" s="29"/>
      <c r="J19" s="29"/>
      <c r="K19" s="30" t="s">
        <v>19</v>
      </c>
      <c r="L19" s="30" t="s">
        <v>19</v>
      </c>
      <c r="M19" s="30" t="s">
        <v>19</v>
      </c>
      <c r="N19" s="31" t="str">
        <f>IFERROR(__xludf.DUMMYFUNCTION("""COMPUTED_VALUE"""),"Mpox;Mpox_international")</f>
        <v>Mpox;Mpox_international</v>
      </c>
    </row>
    <row r="20">
      <c r="A20" s="29" t="str">
        <f>IFERROR(__xludf.DUMMYFUNCTION("""COMPUTED_VALUE"""),"Sample collection and processing")</f>
        <v>Sample collection and processing</v>
      </c>
      <c r="B20" s="29" t="str">
        <f>IFERROR(__xludf.DUMMYFUNCTION("""COMPUTED_VALUE"""),"sample collector contact address")</f>
        <v>sample collector contact address</v>
      </c>
      <c r="C20" s="29" t="str">
        <f>IFERROR(__xludf.DUMMYFUNCTION("""COMPUTED_VALUE"""),"")</f>
        <v/>
      </c>
      <c r="D20" s="29" t="str">
        <f>IFERROR(__xludf.DUMMYFUNCTION("""COMPUTED_VALUE"""),"")</f>
        <v/>
      </c>
      <c r="E20" s="29" t="str">
        <f>IFERROR(__xludf.DUMMYFUNCTION("""COMPUTED_VALUE"""),"GENEPIO:0001158")</f>
        <v>GENEPIO:0001158</v>
      </c>
      <c r="F20" s="29" t="str">
        <f>IFERROR(__xludf.DUMMYFUNCTION("""COMPUTED_VALUE"""),"The mailing address of the agency submitting the sample.")</f>
        <v>The mailing address of the agency submitting the sample.</v>
      </c>
      <c r="G20"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20" s="29" t="str">
        <f>IFERROR(__xludf.DUMMYFUNCTION("""COMPUTED_VALUE"""),"655 Lab St, Vancouver, British Columbia, V5N 2A2, Canada")</f>
        <v>655 Lab St, Vancouver, British Columbia, V5N 2A2, Canada</v>
      </c>
      <c r="I20" s="29"/>
      <c r="J20" s="29"/>
      <c r="K20" s="30" t="s">
        <v>19</v>
      </c>
      <c r="L20" s="30" t="s">
        <v>19</v>
      </c>
      <c r="M20" s="30" t="s">
        <v>19</v>
      </c>
      <c r="N20" s="31" t="str">
        <f>IFERROR(__xludf.DUMMYFUNCTION("""COMPUTED_VALUE"""),"Mpox;Mpox_international")</f>
        <v>Mpox;Mpox_international</v>
      </c>
    </row>
    <row r="21">
      <c r="A21" s="29" t="str">
        <f>IFERROR(__xludf.DUMMYFUNCTION("""COMPUTED_VALUE"""),"Sample collection and processing")</f>
        <v>Sample collection and processing</v>
      </c>
      <c r="B21" s="29" t="str">
        <f>IFERROR(__xludf.DUMMYFUNCTION("""COMPUTED_VALUE"""),"sample collection date")</f>
        <v>sample collection date</v>
      </c>
      <c r="C21" s="29" t="b">
        <f>IFERROR(__xludf.DUMMYFUNCTION("""COMPUTED_VALUE"""),TRUE)</f>
        <v>1</v>
      </c>
      <c r="D21" s="29" t="str">
        <f>IFERROR(__xludf.DUMMYFUNCTION("""COMPUTED_VALUE"""),"")</f>
        <v/>
      </c>
      <c r="E21" s="29" t="str">
        <f>IFERROR(__xludf.DUMMYFUNCTION("""COMPUTED_VALUE"""),"GENEPIO:0001174")</f>
        <v>GENEPIO:0001174</v>
      </c>
      <c r="F21" s="29" t="str">
        <f>IFERROR(__xludf.DUMMYFUNCTION("""COMPUTED_VALUE"""),"The date on which the sample was collected.")</f>
        <v>The date on which the sample was collected.</v>
      </c>
      <c r="G21" s="29" t="str">
        <f>IFERROR(__xludf.DUMMYFUNCTION("""COMPUTED_VALUE"""),"Sample collection date is critical for surveillance and many types of analyses. Required granularity includes year, month and day. If this date is considered identifiable information, it is acceptable to add ""jitter"" by adding or subtracting a calendar "&amp;"day (acceptable by GISAID). Alternatively, ”received date” may be used as a substitute. The date should be provided in ISO 8601 standard format ""YYYY-MM-DD"".")</f>
        <v>Sample collection date is critical for surveillance and many types of analyses. Required granularity includes year, month and day. If this date is considered identifiable information, it is acceptable to add "jitter" by adding or subtracting a calendar day (acceptable by GISAID). Alternatively, ”received date” may be used as a substitute. The date should be provided in ISO 8601 standard format "YYYY-MM-DD".</v>
      </c>
      <c r="H21" s="37">
        <f>IFERROR(__xludf.DUMMYFUNCTION("""COMPUTED_VALUE"""),43906.0)</f>
        <v>43906</v>
      </c>
      <c r="I21" s="29"/>
      <c r="J21" s="29"/>
      <c r="K21" s="30" t="s">
        <v>19</v>
      </c>
      <c r="L21" s="30" t="s">
        <v>19</v>
      </c>
      <c r="M21" s="30" t="s">
        <v>19</v>
      </c>
      <c r="N21" s="31" t="str">
        <f>IFERROR(__xludf.DUMMYFUNCTION("""COMPUTED_VALUE"""),"Mpox;Mpox_international")</f>
        <v>Mpox;Mpox_international</v>
      </c>
    </row>
    <row r="22">
      <c r="A22" s="29" t="str">
        <f>IFERROR(__xludf.DUMMYFUNCTION("""COMPUTED_VALUE"""),"Sample collection and processing")</f>
        <v>Sample collection and processing</v>
      </c>
      <c r="B22" s="29" t="str">
        <f>IFERROR(__xludf.DUMMYFUNCTION("""COMPUTED_VALUE"""),"sample collection date precision")</f>
        <v>sample collection date precision</v>
      </c>
      <c r="C22" s="29" t="b">
        <f>IFERROR(__xludf.DUMMYFUNCTION("""COMPUTED_VALUE"""),TRUE)</f>
        <v>1</v>
      </c>
      <c r="D22" s="29" t="str">
        <f>IFERROR(__xludf.DUMMYFUNCTION("""COMPUTED_VALUE"""),"")</f>
        <v/>
      </c>
      <c r="E22" s="29" t="str">
        <f>IFERROR(__xludf.DUMMYFUNCTION("""COMPUTED_VALUE"""),"GENEPIO:0001177")</f>
        <v>GENEPIO:0001177</v>
      </c>
      <c r="F22" s="29" t="str">
        <f>IFERROR(__xludf.DUMMYFUNCTION("""COMPUTED_VALUE"""),"The precision to which the ""sample collection date"" was provided.")</f>
        <v>The precision to which the "sample collection date" was provided.</v>
      </c>
      <c r="G22" s="29" t="str">
        <f>IFERROR(__xludf.DUMMYFUNCTION("""COMPUTED_VALUE"""),"Provide the precision of granularity to the ""day"", ""month"", or ""year"" for the date provided in the ""sample collection date"" field. The ""sample collection date"" will be truncated to the precision specified upon export; ""day"" for ""YYYY-MM-DD"","&amp;" ""month"" for ""YYYY-MM"", or ""year"" for ""YYYY"".")</f>
        <v>Provide the precision of granularity to the "day", "month", or "year" for the date provided in the "sample collection date" field. The "sample collection date" will be truncated to the precision specified upon export; "day" for "YYYY-MM-DD", "month" for "YYYY-MM", or "year" for "YYYY".</v>
      </c>
      <c r="H22" s="29" t="str">
        <f>IFERROR(__xludf.DUMMYFUNCTION("""COMPUTED_VALUE"""),"year")</f>
        <v>year</v>
      </c>
      <c r="I22" s="29"/>
      <c r="J22" s="29"/>
      <c r="K22" s="30" t="s">
        <v>19</v>
      </c>
      <c r="L22" s="30" t="s">
        <v>19</v>
      </c>
      <c r="M22" s="30" t="s">
        <v>19</v>
      </c>
      <c r="N22" s="36" t="str">
        <f>IFERROR(__xludf.DUMMYFUNCTION("""COMPUTED_VALUE"""),"Mpox")</f>
        <v>Mpox</v>
      </c>
    </row>
    <row r="23">
      <c r="A23" s="29" t="str">
        <f>IFERROR(__xludf.DUMMYFUNCTION("""COMPUTED_VALUE"""),"Sample collection and processing")</f>
        <v>Sample collection and processing</v>
      </c>
      <c r="B23" s="29" t="str">
        <f>IFERROR(__xludf.DUMMYFUNCTION("""COMPUTED_VALUE"""),"sample received date")</f>
        <v>sample received date</v>
      </c>
      <c r="C23" s="29" t="str">
        <f>IFERROR(__xludf.DUMMYFUNCTION("""COMPUTED_VALUE"""),"")</f>
        <v/>
      </c>
      <c r="D23" s="29" t="str">
        <f>IFERROR(__xludf.DUMMYFUNCTION("""COMPUTED_VALUE"""),"")</f>
        <v/>
      </c>
      <c r="E23" s="29" t="str">
        <f>IFERROR(__xludf.DUMMYFUNCTION("""COMPUTED_VALUE"""),"GENEPIO:0001179")</f>
        <v>GENEPIO:0001179</v>
      </c>
      <c r="F23" s="29" t="str">
        <f>IFERROR(__xludf.DUMMYFUNCTION("""COMPUTED_VALUE"""),"The date on which the sample was received.")</f>
        <v>The date on which the sample was received.</v>
      </c>
      <c r="G23" s="29" t="str">
        <f>IFERROR(__xludf.DUMMYFUNCTION("""COMPUTED_VALUE"""),"ISO 8601 standard ""YYYY-MM-DD"".")</f>
        <v>ISO 8601 standard "YYYY-MM-DD".</v>
      </c>
      <c r="H23" s="37">
        <f>IFERROR(__xludf.DUMMYFUNCTION("""COMPUTED_VALUE"""),43910.0)</f>
        <v>43910</v>
      </c>
      <c r="I23" s="29"/>
      <c r="J23" s="29"/>
      <c r="K23" s="30" t="s">
        <v>19</v>
      </c>
      <c r="L23" s="30" t="s">
        <v>19</v>
      </c>
      <c r="M23" s="30" t="s">
        <v>19</v>
      </c>
      <c r="N23" s="31" t="str">
        <f>IFERROR(__xludf.DUMMYFUNCTION("""COMPUTED_VALUE"""),"Mpox;Mpox_international")</f>
        <v>Mpox;Mpox_international</v>
      </c>
    </row>
    <row r="24">
      <c r="A24" s="29" t="str">
        <f>IFERROR(__xludf.DUMMYFUNCTION("""COMPUTED_VALUE"""),"Sample collection and processing")</f>
        <v>Sample collection and processing</v>
      </c>
      <c r="B24" s="29" t="str">
        <f>IFERROR(__xludf.DUMMYFUNCTION("""COMPUTED_VALUE"""),"geo_loc_name (country)")</f>
        <v>geo_loc_name (country)</v>
      </c>
      <c r="C24" s="29" t="b">
        <f>IFERROR(__xludf.DUMMYFUNCTION("""COMPUTED_VALUE"""),TRUE)</f>
        <v>1</v>
      </c>
      <c r="D24" s="29" t="str">
        <f>IFERROR(__xludf.DUMMYFUNCTION("""COMPUTED_VALUE"""),"")</f>
        <v/>
      </c>
      <c r="E24" s="29" t="str">
        <f>IFERROR(__xludf.DUMMYFUNCTION("""COMPUTED_VALUE"""),"GENEPIO:0001181")</f>
        <v>GENEPIO:0001181</v>
      </c>
      <c r="F24" s="29" t="str">
        <f>IFERROR(__xludf.DUMMYFUNCTION("""COMPUTED_VALUE"""),"The country where the sample was collected.")</f>
        <v>The country where the sample was collected.</v>
      </c>
      <c r="G24" s="29" t="str">
        <f>IFERROR(__xludf.DUMMYFUNCTION("""COMPUTED_VALUE"""),"Provide the country name from the controlled vocabulary provided.")</f>
        <v>Provide the country name from the controlled vocabulary provided.</v>
      </c>
      <c r="H24" s="29" t="str">
        <f>IFERROR(__xludf.DUMMYFUNCTION("""COMPUTED_VALUE"""),"Canada")</f>
        <v>Canada</v>
      </c>
      <c r="I24" s="29"/>
      <c r="J24" s="29"/>
      <c r="K24" s="30" t="s">
        <v>19</v>
      </c>
      <c r="L24" s="30" t="s">
        <v>19</v>
      </c>
      <c r="M24" s="30" t="s">
        <v>19</v>
      </c>
      <c r="N24" s="31" t="str">
        <f>IFERROR(__xludf.DUMMYFUNCTION("""COMPUTED_VALUE"""),"Mpox")</f>
        <v>Mpox</v>
      </c>
    </row>
    <row r="25">
      <c r="A25" s="34" t="str">
        <f>IFERROR(__xludf.DUMMYFUNCTION("""COMPUTED_VALUE"""),"Sample collection and processing")</f>
        <v>Sample collection and processing</v>
      </c>
      <c r="B25" s="34" t="str">
        <f>IFERROR(__xludf.DUMMYFUNCTION("""COMPUTED_VALUE"""),"geo_loc_name (country)")</f>
        <v>geo_loc_name (country)</v>
      </c>
      <c r="C25" s="34" t="b">
        <f>IFERROR(__xludf.DUMMYFUNCTION("""COMPUTED_VALUE"""),TRUE)</f>
        <v>1</v>
      </c>
      <c r="D25" s="34" t="str">
        <f>IFERROR(__xludf.DUMMYFUNCTION("""COMPUTED_VALUE"""),"")</f>
        <v/>
      </c>
      <c r="E25" s="34" t="str">
        <f>IFERROR(__xludf.DUMMYFUNCTION("""COMPUTED_VALUE"""),"GENEPIO:0001181")</f>
        <v>GENEPIO:0001181</v>
      </c>
      <c r="F25" s="34" t="str">
        <f>IFERROR(__xludf.DUMMYFUNCTION("""COMPUTED_VALUE"""),"The country where the sample was collected.")</f>
        <v>The country where the sample was collected.</v>
      </c>
      <c r="G25" s="34" t="str">
        <f>IFERROR(__xludf.DUMMYFUNCTION("""COMPUTED_VALUE"""),"Provide the country name from the controlled vocabulary provided.")</f>
        <v>Provide the country name from the controlled vocabulary provided.</v>
      </c>
      <c r="H25" s="34" t="str">
        <f>IFERROR(__xludf.DUMMYFUNCTION("""COMPUTED_VALUE"""),"United States of America [GAZ:00002459]")</f>
        <v>United States of America [GAZ:00002459]</v>
      </c>
      <c r="K25" s="35" t="s">
        <v>19</v>
      </c>
      <c r="L25" s="35" t="s">
        <v>19</v>
      </c>
      <c r="M25" s="35" t="s">
        <v>19</v>
      </c>
      <c r="N25" s="31" t="str">
        <f>IFERROR(__xludf.DUMMYFUNCTION("""COMPUTED_VALUE"""),"Mpox_international")</f>
        <v>Mpox_international</v>
      </c>
    </row>
    <row r="26">
      <c r="A26" s="29" t="str">
        <f>IFERROR(__xludf.DUMMYFUNCTION("""COMPUTED_VALUE"""),"Sample collection and processing")</f>
        <v>Sample collection and processing</v>
      </c>
      <c r="B26" s="29" t="str">
        <f>IFERROR(__xludf.DUMMYFUNCTION("""COMPUTED_VALUE"""),"geo_loc_name (state/province/territory)")</f>
        <v>geo_loc_name (state/province/territory)</v>
      </c>
      <c r="C26" s="29" t="b">
        <f>IFERROR(__xludf.DUMMYFUNCTION("""COMPUTED_VALUE"""),TRUE)</f>
        <v>1</v>
      </c>
      <c r="D26" s="29" t="str">
        <f>IFERROR(__xludf.DUMMYFUNCTION("""COMPUTED_VALUE"""),"")</f>
        <v/>
      </c>
      <c r="E26" s="29" t="str">
        <f>IFERROR(__xludf.DUMMYFUNCTION("""COMPUTED_VALUE"""),"GENEPIO:0001185")</f>
        <v>GENEPIO:0001185</v>
      </c>
      <c r="F26" s="29" t="str">
        <f>IFERROR(__xludf.DUMMYFUNCTION("""COMPUTED_VALUE"""),"The state/province/territory where the sample was collected.")</f>
        <v>The state/province/territory where the sample was collected.</v>
      </c>
      <c r="G26" s="29" t="str">
        <f>IFERROR(__xludf.DUMMYFUNCTION("""COMPUTED_VALUE"""),"Provide the province/territory name from the controlled vocabulary provided.")</f>
        <v>Provide the province/territory name from the controlled vocabulary provided.</v>
      </c>
      <c r="H26" s="29" t="str">
        <f>IFERROR(__xludf.DUMMYFUNCTION("""COMPUTED_VALUE"""),"Saskatchewan")</f>
        <v>Saskatchewan</v>
      </c>
      <c r="I26" s="29"/>
      <c r="J26" s="29"/>
      <c r="K26" s="30" t="s">
        <v>19</v>
      </c>
      <c r="L26" s="30" t="s">
        <v>19</v>
      </c>
      <c r="M26" s="30" t="s">
        <v>19</v>
      </c>
      <c r="N26" s="31" t="str">
        <f>IFERROR(__xludf.DUMMYFUNCTION("""COMPUTED_VALUE"""),"Mpox")</f>
        <v>Mpox</v>
      </c>
    </row>
    <row r="27">
      <c r="A27" s="34" t="str">
        <f>IFERROR(__xludf.DUMMYFUNCTION("""COMPUTED_VALUE"""),"Sample collection and processing")</f>
        <v>Sample collection and processing</v>
      </c>
      <c r="B27" s="34" t="str">
        <f>IFERROR(__xludf.DUMMYFUNCTION("""COMPUTED_VALUE"""),"geo_loc_name (state/province/territory)")</f>
        <v>geo_loc_name (state/province/territory)</v>
      </c>
      <c r="C27" s="34" t="b">
        <f>IFERROR(__xludf.DUMMYFUNCTION("""COMPUTED_VALUE"""),TRUE)</f>
        <v>1</v>
      </c>
      <c r="D27" s="34" t="str">
        <f>IFERROR(__xludf.DUMMYFUNCTION("""COMPUTED_VALUE"""),"")</f>
        <v/>
      </c>
      <c r="E27" s="34" t="str">
        <f>IFERROR(__xludf.DUMMYFUNCTION("""COMPUTED_VALUE"""),"GENEPIO:0001185")</f>
        <v>GENEPIO:0001185</v>
      </c>
      <c r="F27" s="34" t="str">
        <f>IFERROR(__xludf.DUMMYFUNCTION("""COMPUTED_VALUE"""),"The state/province/territory where the sample was collected.")</f>
        <v>The state/province/territory where the sample was collected.</v>
      </c>
      <c r="G27" s="34" t="str">
        <f>IFERROR(__xludf.DUMMYFUNCTION("""COMPUTED_VALUE"""),"Provide the state/province/territory name from the controlled vocabulary provided.")</f>
        <v>Provide the state/province/territory name from the controlled vocabulary provided.</v>
      </c>
      <c r="H27" s="34" t="str">
        <f>IFERROR(__xludf.DUMMYFUNCTION("""COMPUTED_VALUE"""),"Saskatchewan")</f>
        <v>Saskatchewan</v>
      </c>
      <c r="K27" s="35" t="s">
        <v>19</v>
      </c>
      <c r="L27" s="35" t="s">
        <v>19</v>
      </c>
      <c r="M27" s="35" t="s">
        <v>19</v>
      </c>
      <c r="N27" s="31" t="str">
        <f>IFERROR(__xludf.DUMMYFUNCTION("""COMPUTED_VALUE"""),"Mpox_international")</f>
        <v>Mpox_international</v>
      </c>
    </row>
    <row r="28">
      <c r="A28" s="34" t="str">
        <f>IFERROR(__xludf.DUMMYFUNCTION("""COMPUTED_VALUE"""),"Sample collection and processing")</f>
        <v>Sample collection and processing</v>
      </c>
      <c r="B28" s="34" t="str">
        <f>IFERROR(__xludf.DUMMYFUNCTION("""COMPUTED_VALUE"""),"geo_loc latitude")</f>
        <v>geo_loc latitude</v>
      </c>
      <c r="C28" s="34"/>
      <c r="D28" s="34"/>
      <c r="E28" s="34" t="str">
        <f>IFERROR(__xludf.DUMMYFUNCTION("""COMPUTED_VALUE"""),"GENEPIO:0100309")</f>
        <v>GENEPIO:0100309</v>
      </c>
      <c r="F28" s="34" t="str">
        <f>IFERROR(__xludf.DUMMYFUNCTION("""COMPUTED_VALUE"""),"The latitude coordinates of the geographical location of sample collection.")</f>
        <v>The latitude coordinates of the geographical location of sample collection.</v>
      </c>
      <c r="G28" s="34" t="str">
        <f>IFERROR(__xludf.DUMMYFUNCTION("""COMPUTED_VALUE"""),"Provide latitude coordinates if available. Do not use the centre of the city/region/province/state/country or the location of your agency as a proxy, as this implicates a real location and is misleading. Specify as degrees latitude in format ""d[d.dddd] N"&amp;"|S"".")</f>
        <v>Provide latitude coordinates if available. Do not use the centre of the city/region/province/state/country or the location of your agency as a proxy, as this implicates a real location and is misleading. Specify as degrees latitude in format "d[d.dddd] N|S".</v>
      </c>
      <c r="H28" s="34" t="str">
        <f>IFERROR(__xludf.DUMMYFUNCTION("""COMPUTED_VALUE"""),"38.98 N")</f>
        <v>38.98 N</v>
      </c>
      <c r="K28" s="35" t="s">
        <v>19</v>
      </c>
      <c r="L28" s="35" t="s">
        <v>19</v>
      </c>
      <c r="M28" s="35" t="s">
        <v>19</v>
      </c>
      <c r="N28" s="31" t="str">
        <f>IFERROR(__xludf.DUMMYFUNCTION("""COMPUTED_VALUE"""),"Mpox_international")</f>
        <v>Mpox_international</v>
      </c>
    </row>
    <row r="29">
      <c r="A29" s="34" t="str">
        <f>IFERROR(__xludf.DUMMYFUNCTION("""COMPUTED_VALUE"""),"Sample collection and processing")</f>
        <v>Sample collection and processing</v>
      </c>
      <c r="B29" s="34" t="str">
        <f>IFERROR(__xludf.DUMMYFUNCTION("""COMPUTED_VALUE"""),"geo_loc longitude")</f>
        <v>geo_loc longitude</v>
      </c>
      <c r="C29" s="34"/>
      <c r="D29" s="34"/>
      <c r="E29" s="34" t="str">
        <f>IFERROR(__xludf.DUMMYFUNCTION("""COMPUTED_VALUE"""),"GENEPIO:0100310")</f>
        <v>GENEPIO:0100310</v>
      </c>
      <c r="F29" s="34" t="str">
        <f>IFERROR(__xludf.DUMMYFUNCTION("""COMPUTED_VALUE"""),"The longitude coordinates of the geographical location of sample collection.")</f>
        <v>The longitude coordinates of the geographical location of sample collection.</v>
      </c>
      <c r="G29" s="34" t="str">
        <f>IFERROR(__xludf.DUMMYFUNCTION("""COMPUTED_VALUE"""),"Provide longitude coordinates if available. Do not use the centre of the city/region/province/state/country or the location of your agency as a proxy, as this implicates a real location and is misleading. Specify as degrees longitude in format ""d[dd.dddd"&amp;"] W|E"".")</f>
        <v>Provide longitude coordinates if available. Do not use the centre of the city/region/province/state/country or the location of your agency as a proxy, as this implicates a real location and is misleading. Specify as degrees longitude in format "d[dd.dddd] W|E".</v>
      </c>
      <c r="H29" s="34" t="str">
        <f>IFERROR(__xludf.DUMMYFUNCTION("""COMPUTED_VALUE"""),"77.11 W")</f>
        <v>77.11 W</v>
      </c>
      <c r="K29" s="35" t="s">
        <v>19</v>
      </c>
      <c r="L29" s="35" t="s">
        <v>19</v>
      </c>
      <c r="M29" s="35" t="s">
        <v>19</v>
      </c>
      <c r="N29" s="31" t="str">
        <f>IFERROR(__xludf.DUMMYFUNCTION("""COMPUTED_VALUE"""),"Mpox_international")</f>
        <v>Mpox_international</v>
      </c>
    </row>
    <row r="30">
      <c r="A30" s="29" t="str">
        <f>IFERROR(__xludf.DUMMYFUNCTION("""COMPUTED_VALUE"""),"Sample collection and processing")</f>
        <v>Sample collection and processing</v>
      </c>
      <c r="B30" s="29" t="str">
        <f>IFERROR(__xludf.DUMMYFUNCTION("""COMPUTED_VALUE"""),"organism")</f>
        <v>organism</v>
      </c>
      <c r="C30" s="29" t="b">
        <f>IFERROR(__xludf.DUMMYFUNCTION("""COMPUTED_VALUE"""),TRUE)</f>
        <v>1</v>
      </c>
      <c r="D30" s="29" t="str">
        <f>IFERROR(__xludf.DUMMYFUNCTION("""COMPUTED_VALUE"""),"")</f>
        <v/>
      </c>
      <c r="E30" s="29" t="str">
        <f>IFERROR(__xludf.DUMMYFUNCTION("""COMPUTED_VALUE"""),"GENEPIO:0001191")</f>
        <v>GENEPIO:0001191</v>
      </c>
      <c r="F30" s="29" t="str">
        <f>IFERROR(__xludf.DUMMYFUNCTION("""COMPUTED_VALUE"""),"Taxonomic name of the organism.")</f>
        <v>Taxonomic name of the organism.</v>
      </c>
      <c r="G30" s="29"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0" s="29" t="str">
        <f>IFERROR(__xludf.DUMMYFUNCTION("""COMPUTED_VALUE"""),"Mpox virus")</f>
        <v>Mpox virus</v>
      </c>
      <c r="I30" s="29"/>
      <c r="J30" s="29"/>
      <c r="K30" s="30" t="s">
        <v>19</v>
      </c>
      <c r="L30" s="30" t="s">
        <v>19</v>
      </c>
      <c r="M30" s="30" t="s">
        <v>19</v>
      </c>
      <c r="N30" s="31" t="str">
        <f>IFERROR(__xludf.DUMMYFUNCTION("""COMPUTED_VALUE"""),"Mpox")</f>
        <v>Mpox</v>
      </c>
    </row>
    <row r="31">
      <c r="A31" s="34" t="str">
        <f>IFERROR(__xludf.DUMMYFUNCTION("""COMPUTED_VALUE"""),"Sample collection and processing")</f>
        <v>Sample collection and processing</v>
      </c>
      <c r="B31" s="34" t="str">
        <f>IFERROR(__xludf.DUMMYFUNCTION("""COMPUTED_VALUE"""),"organism")</f>
        <v>organism</v>
      </c>
      <c r="C31" s="34" t="b">
        <f>IFERROR(__xludf.DUMMYFUNCTION("""COMPUTED_VALUE"""),TRUE)</f>
        <v>1</v>
      </c>
      <c r="D31" s="34" t="str">
        <f>IFERROR(__xludf.DUMMYFUNCTION("""COMPUTED_VALUE"""),"")</f>
        <v/>
      </c>
      <c r="E31" s="34" t="str">
        <f>IFERROR(__xludf.DUMMYFUNCTION("""COMPUTED_VALUE"""),"GENEPIO:0001191")</f>
        <v>GENEPIO:0001191</v>
      </c>
      <c r="F31" s="34" t="str">
        <f>IFERROR(__xludf.DUMMYFUNCTION("""COMPUTED_VALUE"""),"Taxonomic name of the organism.")</f>
        <v>Taxonomic name of the organism.</v>
      </c>
      <c r="G31" s="34" t="str">
        <f>IFERROR(__xludf.DUMMYFUNCTION("""COMPUTED_VALUE"""),"Use ""Mpox virus"". This value is provided in the template.  Note: the Mpox virus was formerly referred to as the ""Monkeypox virus"" but the international nomenclature has changed (2022). ")</f>
        <v>Use "Mpox virus". This value is provided in the template.  Note: the Mpox virus was formerly referred to as the "Monkeypox virus" but the international nomenclature has changed (2022). </v>
      </c>
      <c r="H31" s="34" t="str">
        <f>IFERROR(__xludf.DUMMYFUNCTION("""COMPUTED_VALUE"""),"Mpox virus [NCBITaxon:10244]")</f>
        <v>Mpox virus [NCBITaxon:10244]</v>
      </c>
      <c r="K31" s="35" t="s">
        <v>19</v>
      </c>
      <c r="L31" s="35" t="s">
        <v>19</v>
      </c>
      <c r="M31" s="35" t="s">
        <v>19</v>
      </c>
      <c r="N31" s="31" t="str">
        <f>IFERROR(__xludf.DUMMYFUNCTION("""COMPUTED_VALUE"""),"Mpox_international")</f>
        <v>Mpox_international</v>
      </c>
    </row>
    <row r="32">
      <c r="A32" s="29" t="str">
        <f>IFERROR(__xludf.DUMMYFUNCTION("""COMPUTED_VALUE"""),"Sample collection and processing")</f>
        <v>Sample collection and processing</v>
      </c>
      <c r="B32" s="29" t="str">
        <f>IFERROR(__xludf.DUMMYFUNCTION("""COMPUTED_VALUE"""),"isolate")</f>
        <v>isolate</v>
      </c>
      <c r="C32" s="29" t="b">
        <f>IFERROR(__xludf.DUMMYFUNCTION("""COMPUTED_VALUE"""),TRUE)</f>
        <v>1</v>
      </c>
      <c r="D32" s="29" t="str">
        <f>IFERROR(__xludf.DUMMYFUNCTION("""COMPUTED_VALUE"""),"")</f>
        <v/>
      </c>
      <c r="E32" s="29" t="str">
        <f>IFERROR(__xludf.DUMMYFUNCTION("""COMPUTED_VALUE"""),"GENEPIO:0001195")</f>
        <v>GENEPIO:0001195</v>
      </c>
      <c r="F32" s="29" t="str">
        <f>IFERROR(__xludf.DUMMYFUNCTION("""COMPUTED_VALUE"""),"Identifier of the specific isolate.")</f>
        <v>Identifier of the specific isolate.</v>
      </c>
      <c r="G32" s="29" t="str">
        <f>IFERROR(__xludf.DUMMYFUNCTION("""COMPUTED_VALUE"""),"Provide the GISAID EpiPox virus name, which should be written in the format “hMpxV/Canada/2 digit provincial ISO code-xxxxx/year”. If the province code cannot be shared for privacy reasons, put ""UN"" for ""Unknown"".")</f>
        <v>Provide the GISAID EpiPox virus name, which should be written in the format “hMpxV/Canada/2 digit provincial ISO code-xxxxx/year”. If the province code cannot be shared for privacy reasons, put "UN" for "Unknown".</v>
      </c>
      <c r="H32" s="29" t="str">
        <f>IFERROR(__xludf.DUMMYFUNCTION("""COMPUTED_VALUE"""),"hMpxV/Canada/UN-NML-12345/2022")</f>
        <v>hMpxV/Canada/UN-NML-12345/2022</v>
      </c>
      <c r="I32" s="29"/>
      <c r="J32" s="29"/>
      <c r="K32" s="30" t="s">
        <v>19</v>
      </c>
      <c r="L32" s="30" t="s">
        <v>19</v>
      </c>
      <c r="M32" s="30" t="s">
        <v>19</v>
      </c>
      <c r="N32" s="31" t="str">
        <f>IFERROR(__xludf.DUMMYFUNCTION("""COMPUTED_VALUE"""),"Mpox")</f>
        <v>Mpox</v>
      </c>
    </row>
    <row r="33">
      <c r="A33" s="34" t="str">
        <f>IFERROR(__xludf.DUMMYFUNCTION("""COMPUTED_VALUE"""),"Sample collection and processing")</f>
        <v>Sample collection and processing</v>
      </c>
      <c r="B33" s="34" t="str">
        <f>IFERROR(__xludf.DUMMYFUNCTION("""COMPUTED_VALUE"""),"isolate")</f>
        <v>isolate</v>
      </c>
      <c r="C33" s="34" t="b">
        <f>IFERROR(__xludf.DUMMYFUNCTION("""COMPUTED_VALUE"""),TRUE)</f>
        <v>1</v>
      </c>
      <c r="D33" s="34"/>
      <c r="E33" s="34" t="str">
        <f>IFERROR(__xludf.DUMMYFUNCTION("""COMPUTED_VALUE"""),"GENEPIO:0001644")</f>
        <v>GENEPIO:0001644</v>
      </c>
      <c r="F33" s="34" t="str">
        <f>IFERROR(__xludf.DUMMYFUNCTION("""COMPUTED_VALUE"""),"Identifier of the specific isolate.")</f>
        <v>Identifier of the specific isolate.</v>
      </c>
      <c r="G33" s="34" t="str">
        <f>IFERROR(__xludf.DUMMYFUNCTION("""COMPUTED_VALUE"""),"This identifier should be an unique, indexed, alpha-numeric ID within your laboratory. If submitted to the INSDC, the ""isolate"" name is propagated throughtout different databases. As such, structure the ""isolate"" name to be ICTV/INSDC compliant in the"&amp;" following format: ""MpxV/host/country/sampleID/date"".")</f>
        <v>This identifier should be an unique, indexed, alpha-numeric ID within your laboratory. If submitted to the INSDC, the "isolate" name is propagated throughtout different databases. As such, structure the "isolate" name to be ICTV/INSDC compliant in the following format: "MpxV/host/country/sampleID/date".</v>
      </c>
      <c r="H33" s="34" t="str">
        <f>IFERROR(__xludf.DUMMYFUNCTION("""COMPUTED_VALUE"""),"MpxV/human/USA/CA-CDPH-001/2020")</f>
        <v>MpxV/human/USA/CA-CDPH-001/2020</v>
      </c>
      <c r="K33" s="35" t="s">
        <v>19</v>
      </c>
      <c r="L33" s="35" t="s">
        <v>19</v>
      </c>
      <c r="M33" s="35" t="s">
        <v>19</v>
      </c>
      <c r="N33" s="38" t="str">
        <f>IFERROR(__xludf.DUMMYFUNCTION("""COMPUTED_VALUE"""),"Mpox_international")</f>
        <v>Mpox_international</v>
      </c>
    </row>
    <row r="34">
      <c r="A34" s="29" t="str">
        <f>IFERROR(__xludf.DUMMYFUNCTION("""COMPUTED_VALUE"""),"Sample collection and processing")</f>
        <v>Sample collection and processing</v>
      </c>
      <c r="B34" s="29" t="str">
        <f>IFERROR(__xludf.DUMMYFUNCTION("""COMPUTED_VALUE"""),"purpose of sampling")</f>
        <v>purpose of sampling</v>
      </c>
      <c r="C34" s="29" t="b">
        <f>IFERROR(__xludf.DUMMYFUNCTION("""COMPUTED_VALUE"""),TRUE)</f>
        <v>1</v>
      </c>
      <c r="D34" s="29" t="str">
        <f>IFERROR(__xludf.DUMMYFUNCTION("""COMPUTED_VALUE"""),"")</f>
        <v/>
      </c>
      <c r="E34" s="29" t="str">
        <f>IFERROR(__xludf.DUMMYFUNCTION("""COMPUTED_VALUE"""),"GENEPIO:0001198")</f>
        <v>GENEPIO:0001198</v>
      </c>
      <c r="F34" s="29" t="str">
        <f>IFERROR(__xludf.DUMMYFUNCTION("""COMPUTED_VALUE"""),"The reason that the sample was collected.")</f>
        <v>The reason that the sample was collected.</v>
      </c>
      <c r="G34" s="29"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4" s="29" t="str">
        <f>IFERROR(__xludf.DUMMYFUNCTION("""COMPUTED_VALUE"""),"Diagnostic testing")</f>
        <v>Diagnostic testing</v>
      </c>
      <c r="I34" s="29"/>
      <c r="J34" s="29"/>
      <c r="K34" s="30" t="s">
        <v>19</v>
      </c>
      <c r="L34" s="30" t="s">
        <v>19</v>
      </c>
      <c r="M34" s="30" t="s">
        <v>19</v>
      </c>
      <c r="N34" s="31" t="str">
        <f>IFERROR(__xludf.DUMMYFUNCTION("""COMPUTED_VALUE"""),"Mpox")</f>
        <v>Mpox</v>
      </c>
    </row>
    <row r="35">
      <c r="A35" s="34" t="str">
        <f>IFERROR(__xludf.DUMMYFUNCTION("""COMPUTED_VALUE"""),"Sample collection and processing")</f>
        <v>Sample collection and processing</v>
      </c>
      <c r="B35" s="34" t="str">
        <f>IFERROR(__xludf.DUMMYFUNCTION("""COMPUTED_VALUE"""),"purpose of sampling")</f>
        <v>purpose of sampling</v>
      </c>
      <c r="C35" s="34" t="b">
        <f>IFERROR(__xludf.DUMMYFUNCTION("""COMPUTED_VALUE"""),TRUE)</f>
        <v>1</v>
      </c>
      <c r="D35" s="34" t="str">
        <f>IFERROR(__xludf.DUMMYFUNCTION("""COMPUTED_VALUE"""),"")</f>
        <v/>
      </c>
      <c r="E35" s="34" t="str">
        <f>IFERROR(__xludf.DUMMYFUNCTION("""COMPUTED_VALUE"""),"GENEPIO:0001198")</f>
        <v>GENEPIO:0001198</v>
      </c>
      <c r="F35" s="34" t="str">
        <f>IFERROR(__xludf.DUMMYFUNCTION("""COMPUTED_VALUE"""),"The reason that the sample was collected.")</f>
        <v>The reason that the sample was collected.</v>
      </c>
      <c r="G35" s="34" t="str">
        <f>IFERROR(__xludf.DUMMYFUNCTION("""COMPUTED_VALUE"""),"As all samples are taken for diagnostic purposes, ""Diagnostic Testing"" should be chosen from the picklist at this time. The reason why a sample was originally collected may differ from the reason why it was selected for sequencing, which should be indic"&amp;"ated in the ""purpose of sequencing"" field. ")</f>
        <v>As all samples are taken for diagnostic purposes, "Diagnostic Testing" should be chosen from the picklist at this time. The reason why a sample was originally collected may differ from the reason why it was selected for sequencing, which should be indicated in the "purpose of sequencing" field. </v>
      </c>
      <c r="H35" s="34" t="str">
        <f>IFERROR(__xludf.DUMMYFUNCTION("""COMPUTED_VALUE"""),"Diagnostic testing [GENEPIO:0100002]")</f>
        <v>Diagnostic testing [GENEPIO:0100002]</v>
      </c>
      <c r="K35" s="35" t="s">
        <v>19</v>
      </c>
      <c r="L35" s="35" t="s">
        <v>19</v>
      </c>
      <c r="M35" s="35" t="s">
        <v>19</v>
      </c>
      <c r="N35" s="31" t="str">
        <f>IFERROR(__xludf.DUMMYFUNCTION("""COMPUTED_VALUE"""),"Mpox_international")</f>
        <v>Mpox_international</v>
      </c>
    </row>
    <row r="36">
      <c r="A36" s="29" t="str">
        <f>IFERROR(__xludf.DUMMYFUNCTION("""COMPUTED_VALUE"""),"Sample collection and processing")</f>
        <v>Sample collection and processing</v>
      </c>
      <c r="B36" s="29" t="str">
        <f>IFERROR(__xludf.DUMMYFUNCTION("""COMPUTED_VALUE"""),"purpose of sampling details")</f>
        <v>purpose of sampling details</v>
      </c>
      <c r="C36" s="29" t="b">
        <f>IFERROR(__xludf.DUMMYFUNCTION("""COMPUTED_VALUE"""),TRUE)</f>
        <v>1</v>
      </c>
      <c r="D36" s="29" t="str">
        <f>IFERROR(__xludf.DUMMYFUNCTION("""COMPUTED_VALUE"""),"")</f>
        <v/>
      </c>
      <c r="E36" s="29" t="str">
        <f>IFERROR(__xludf.DUMMYFUNCTION("""COMPUTED_VALUE"""),"GENEPIO:0001200")</f>
        <v>GENEPIO:0001200</v>
      </c>
      <c r="F36" s="29" t="str">
        <f>IFERROR(__xludf.DUMMYFUNCTION("""COMPUTED_VALUE"""),"The description of why the sample was collected, providing specific details.")</f>
        <v>The description of why the sample was collected, providing specific details.</v>
      </c>
      <c r="G36" s="29" t="str">
        <f>IFERROR(__xludf.DUMMYFUNCTION("""COMPUTED_VALUE"""),"Provide an expanded description of why the sample was collected using free text. The description may include the importance of the sample for a particular public health investigation/surveillance activity/research question. If details are not available, p"&amp;"rovide a null value.")</f>
        <v>Provide an expanded description of why the sample was collected using free text. The description may include the importance of the sample for a particular public health investigation/surveillance activity/research question. If details are not available, provide a null value.</v>
      </c>
      <c r="H36" s="29" t="str">
        <f>IFERROR(__xludf.DUMMYFUNCTION("""COMPUTED_VALUE"""),"Symptomology and history suggested Monkeypox diagnosis.")</f>
        <v>Symptomology and history suggested Monkeypox diagnosis.</v>
      </c>
      <c r="I36" s="29"/>
      <c r="J36" s="29"/>
      <c r="K36" s="30" t="s">
        <v>19</v>
      </c>
      <c r="L36" s="30" t="s">
        <v>19</v>
      </c>
      <c r="M36" s="30" t="s">
        <v>19</v>
      </c>
      <c r="N36" s="31" t="str">
        <f>IFERROR(__xludf.DUMMYFUNCTION("""COMPUTED_VALUE"""),"Mpox;Mpox_international")</f>
        <v>Mpox;Mpox_international</v>
      </c>
    </row>
    <row r="37">
      <c r="A37" s="29" t="str">
        <f>IFERROR(__xludf.DUMMYFUNCTION("""COMPUTED_VALUE"""),"Sample collection and processing")</f>
        <v>Sample collection and processing</v>
      </c>
      <c r="B37" s="29" t="str">
        <f>IFERROR(__xludf.DUMMYFUNCTION("""COMPUTED_VALUE"""),"NML submitted specimen type")</f>
        <v>NML submitted specimen type</v>
      </c>
      <c r="C37" s="29" t="b">
        <f>IFERROR(__xludf.DUMMYFUNCTION("""COMPUTED_VALUE"""),TRUE)</f>
        <v>1</v>
      </c>
      <c r="D37" s="29" t="str">
        <f>IFERROR(__xludf.DUMMYFUNCTION("""COMPUTED_VALUE"""),"")</f>
        <v/>
      </c>
      <c r="E37" s="29" t="str">
        <f>IFERROR(__xludf.DUMMYFUNCTION("""COMPUTED_VALUE"""),"GENEPIO:0001204")</f>
        <v>GENEPIO:0001204</v>
      </c>
      <c r="F37" s="29" t="str">
        <f>IFERROR(__xludf.DUMMYFUNCTION("""COMPUTED_VALUE"""),"The type of specimen submitted to the National Microbiology Laboratory (NML) for testing.")</f>
        <v>The type of specimen submitted to the National Microbiology Laboratory (NML) for testing.</v>
      </c>
      <c r="G37" s="29" t="str">
        <f>IFERROR(__xludf.DUMMYFUNCTION("""COMPUTED_VALUE"""),"This information is required for upload through the CNPHI LaSER system. Select the specimen type from the pick list provided. If sequence data is being submitted rather than a specimen for testing, select “Not Applicable”.")</f>
        <v>This information is required for upload through the CNPHI LaSER system. Select the specimen type from the pick list provided. If sequence data is being submitted rather than a specimen for testing, select “Not Applicable”.</v>
      </c>
      <c r="H37" s="29" t="str">
        <f>IFERROR(__xludf.DUMMYFUNCTION("""COMPUTED_VALUE"""),"Nucleic Acid")</f>
        <v>Nucleic Acid</v>
      </c>
      <c r="I37" s="29"/>
      <c r="J37" s="29"/>
      <c r="K37" s="30" t="s">
        <v>19</v>
      </c>
      <c r="L37" s="30" t="s">
        <v>19</v>
      </c>
      <c r="M37" s="30" t="s">
        <v>19</v>
      </c>
      <c r="N37" s="32" t="str">
        <f>IFERROR(__xludf.DUMMYFUNCTION("""COMPUTED_VALUE"""),"Mpox")</f>
        <v>Mpox</v>
      </c>
    </row>
    <row r="38">
      <c r="A38" s="29" t="str">
        <f>IFERROR(__xludf.DUMMYFUNCTION("""COMPUTED_VALUE"""),"Sample collection and processing")</f>
        <v>Sample collection and processing</v>
      </c>
      <c r="B38" s="29" t="str">
        <f>IFERROR(__xludf.DUMMYFUNCTION("""COMPUTED_VALUE"""),"Related specimen relationship type")</f>
        <v>Related specimen relationship type</v>
      </c>
      <c r="C38" s="29" t="str">
        <f>IFERROR(__xludf.DUMMYFUNCTION("""COMPUTED_VALUE"""),"")</f>
        <v/>
      </c>
      <c r="D38" s="29" t="str">
        <f>IFERROR(__xludf.DUMMYFUNCTION("""COMPUTED_VALUE"""),"")</f>
        <v/>
      </c>
      <c r="E38" s="29" t="str">
        <f>IFERROR(__xludf.DUMMYFUNCTION("""COMPUTED_VALUE"""),"GENEPIO:0001209")</f>
        <v>GENEPIO:0001209</v>
      </c>
      <c r="F38" s="29" t="str">
        <f>IFERROR(__xludf.DUMMYFUNCTION("""COMPUTED_VALUE"""),"The relationship of the current specimen to the specimen/sample previously submitted to the repository.")</f>
        <v>The relationship of the current specimen to the specimen/sample previously submitted to the repository.</v>
      </c>
      <c r="G38" s="29" t="str">
        <f>IFERROR(__xludf.DUMMYFUNCTION("""COMPUTED_VALUE"""),"Provide the tag that describes how the previous sample is related to the current sample being submitted from the pick list provided, so that the samples can be linked and tracked in the system.")</f>
        <v>Provide the tag that describes how the previous sample is related to the current sample being submitted from the pick list provided, so that the samples can be linked and tracked in the system.</v>
      </c>
      <c r="H38" s="29" t="str">
        <f>IFERROR(__xludf.DUMMYFUNCTION("""COMPUTED_VALUE"""),"Previously Submitted")</f>
        <v>Previously Submitted</v>
      </c>
      <c r="I38" s="29"/>
      <c r="J38" s="29"/>
      <c r="K38" s="30" t="s">
        <v>19</v>
      </c>
      <c r="L38" s="30" t="s">
        <v>19</v>
      </c>
      <c r="M38" s="30" t="s">
        <v>19</v>
      </c>
      <c r="N38" s="32" t="str">
        <f>IFERROR(__xludf.DUMMYFUNCTION("""COMPUTED_VALUE"""),"Mpox")</f>
        <v>Mpox</v>
      </c>
    </row>
    <row r="39">
      <c r="A39" s="29" t="str">
        <f>IFERROR(__xludf.DUMMYFUNCTION("""COMPUTED_VALUE"""),"Sample collection and processing")</f>
        <v>Sample collection and processing</v>
      </c>
      <c r="B39" s="29" t="str">
        <f>IFERROR(__xludf.DUMMYFUNCTION("""COMPUTED_VALUE"""),"anatomical material")</f>
        <v>anatomical material</v>
      </c>
      <c r="C39" s="29" t="b">
        <f>IFERROR(__xludf.DUMMYFUNCTION("""COMPUTED_VALUE"""),TRUE)</f>
        <v>1</v>
      </c>
      <c r="D39" s="29" t="str">
        <f>IFERROR(__xludf.DUMMYFUNCTION("""COMPUTED_VALUE"""),"")</f>
        <v/>
      </c>
      <c r="E39" s="29" t="str">
        <f>IFERROR(__xludf.DUMMYFUNCTION("""COMPUTED_VALUE"""),"GENEPIO:0001211")</f>
        <v>GENEPIO:0001211</v>
      </c>
      <c r="F39" s="29" t="str">
        <f>IFERROR(__xludf.DUMMYFUNCTION("""COMPUTED_VALUE"""),"A substance obtained from an anatomical part of an organism e.g. tissue, blood.")</f>
        <v>A substance obtained from an anatomical part of an organism e.g. tissue, blood.</v>
      </c>
      <c r="G39" s="29"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39" s="29" t="str">
        <f>IFERROR(__xludf.DUMMYFUNCTION("""COMPUTED_VALUE"""),"Lesion (Pustule)")</f>
        <v>Lesion (Pustule)</v>
      </c>
      <c r="I39" s="29"/>
      <c r="J39" s="29"/>
      <c r="K39" s="30" t="s">
        <v>19</v>
      </c>
      <c r="L39" s="30" t="s">
        <v>19</v>
      </c>
      <c r="M39" s="30" t="s">
        <v>19</v>
      </c>
      <c r="N39" s="31" t="str">
        <f>IFERROR(__xludf.DUMMYFUNCTION("""COMPUTED_VALUE"""),"Mpox")</f>
        <v>Mpox</v>
      </c>
    </row>
    <row r="40">
      <c r="A40" s="34" t="str">
        <f>IFERROR(__xludf.DUMMYFUNCTION("""COMPUTED_VALUE"""),"Sample collection and processing")</f>
        <v>Sample collection and processing</v>
      </c>
      <c r="B40" s="34" t="str">
        <f>IFERROR(__xludf.DUMMYFUNCTION("""COMPUTED_VALUE"""),"anatomical material")</f>
        <v>anatomical material</v>
      </c>
      <c r="C40" s="34" t="str">
        <f>IFERROR(__xludf.DUMMYFUNCTION("""COMPUTED_VALUE"""),"")</f>
        <v/>
      </c>
      <c r="D40" s="34" t="b">
        <f>IFERROR(__xludf.DUMMYFUNCTION("""COMPUTED_VALUE"""),TRUE)</f>
        <v>1</v>
      </c>
      <c r="E40" s="34" t="str">
        <f>IFERROR(__xludf.DUMMYFUNCTION("""COMPUTED_VALUE"""),"GENEPIO:0001211")</f>
        <v>GENEPIO:0001211</v>
      </c>
      <c r="F40" s="34" t="str">
        <f>IFERROR(__xludf.DUMMYFUNCTION("""COMPUTED_VALUE"""),"A substance obtained from an anatomical part of an organism e.g. tissue, blood.")</f>
        <v>A substance obtained from an anatomical part of an organism e.g. tissue, blood.</v>
      </c>
      <c r="G40" s="34" t="str">
        <f>IFERROR(__xludf.DUMMYFUNCTION("""COMPUTED_VALUE"""),"Provide a descriptor if an anatomical material was sampled. Use the picklist provided in the template. If a desired term is missing from the picklist, contact emma_griffiths@sfu.ca. If not applicable, do not leave blank. Choose a null value. ")</f>
        <v>Provide a descriptor if an anatomical material was sampled. Use the picklist provided in the template. If a desired term is missing from the picklist, contact emma_griffiths@sfu.ca. If not applicable, do not leave blank. Choose a null value. </v>
      </c>
      <c r="H40" s="34" t="str">
        <f>IFERROR(__xludf.DUMMYFUNCTION("""COMPUTED_VALUE"""),"Lesion (Pustule) [NCIT:C78582]")</f>
        <v>Lesion (Pustule) [NCIT:C78582]</v>
      </c>
      <c r="K40" s="35" t="s">
        <v>19</v>
      </c>
      <c r="L40" s="35" t="s">
        <v>19</v>
      </c>
      <c r="M40" s="35" t="s">
        <v>19</v>
      </c>
      <c r="N40" s="31" t="str">
        <f>IFERROR(__xludf.DUMMYFUNCTION("""COMPUTED_VALUE"""),"Mpox_international")</f>
        <v>Mpox_international</v>
      </c>
    </row>
    <row r="41">
      <c r="A41" s="29" t="str">
        <f>IFERROR(__xludf.DUMMYFUNCTION("""COMPUTED_VALUE"""),"Sample collection and processing")</f>
        <v>Sample collection and processing</v>
      </c>
      <c r="B41" s="29" t="str">
        <f>IFERROR(__xludf.DUMMYFUNCTION("""COMPUTED_VALUE"""),"anatomical part")</f>
        <v>anatomical part</v>
      </c>
      <c r="C41" s="29" t="b">
        <f>IFERROR(__xludf.DUMMYFUNCTION("""COMPUTED_VALUE"""),TRUE)</f>
        <v>1</v>
      </c>
      <c r="D41" s="29" t="str">
        <f>IFERROR(__xludf.DUMMYFUNCTION("""COMPUTED_VALUE"""),"")</f>
        <v/>
      </c>
      <c r="E41" s="29" t="str">
        <f>IFERROR(__xludf.DUMMYFUNCTION("""COMPUTED_VALUE"""),"GENEPIO:0001214")</f>
        <v>GENEPIO:0001214</v>
      </c>
      <c r="F41" s="29" t="str">
        <f>IFERROR(__xludf.DUMMYFUNCTION("""COMPUTED_VALUE"""),"An anatomical part of an organism e.g. oropharynx.")</f>
        <v>An anatomical part of an organism e.g. oropharynx.</v>
      </c>
      <c r="G41" s="29"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1" s="29" t="str">
        <f>IFERROR(__xludf.DUMMYFUNCTION("""COMPUTED_VALUE"""),"Genital area")</f>
        <v>Genital area</v>
      </c>
      <c r="I41" s="29"/>
      <c r="J41" s="29"/>
      <c r="K41" s="30" t="s">
        <v>19</v>
      </c>
      <c r="L41" s="30" t="s">
        <v>19</v>
      </c>
      <c r="M41" s="30" t="s">
        <v>19</v>
      </c>
      <c r="N41" s="31" t="str">
        <f>IFERROR(__xludf.DUMMYFUNCTION("""COMPUTED_VALUE"""),"Mpox")</f>
        <v>Mpox</v>
      </c>
    </row>
    <row r="42">
      <c r="A42" s="34" t="str">
        <f>IFERROR(__xludf.DUMMYFUNCTION("""COMPUTED_VALUE"""),"Sample collection and processing")</f>
        <v>Sample collection and processing</v>
      </c>
      <c r="B42" s="34" t="str">
        <f>IFERROR(__xludf.DUMMYFUNCTION("""COMPUTED_VALUE"""),"anatomical part")</f>
        <v>anatomical part</v>
      </c>
      <c r="C42" s="34" t="str">
        <f>IFERROR(__xludf.DUMMYFUNCTION("""COMPUTED_VALUE"""),"")</f>
        <v/>
      </c>
      <c r="D42" s="34" t="b">
        <f>IFERROR(__xludf.DUMMYFUNCTION("""COMPUTED_VALUE"""),TRUE)</f>
        <v>1</v>
      </c>
      <c r="E42" s="34" t="str">
        <f>IFERROR(__xludf.DUMMYFUNCTION("""COMPUTED_VALUE"""),"GENEPIO:0001214")</f>
        <v>GENEPIO:0001214</v>
      </c>
      <c r="F42" s="34" t="str">
        <f>IFERROR(__xludf.DUMMYFUNCTION("""COMPUTED_VALUE"""),"An anatomical part of an organism e.g. oropharynx.")</f>
        <v>An anatomical part of an organism e.g. oropharynx.</v>
      </c>
      <c r="G42" s="34" t="str">
        <f>IFERROR(__xludf.DUMMYFUNCTION("""COMPUTED_VALUE"""),"Provide a descriptor if an anatomical part was sampled. Use the picklist provided in the template. If a desired term is missing from the picklist, contact emma_griffiths@sfu.ca. If not applicable, do not leave blank. Choose a null value. ")</f>
        <v>Provide a descriptor if an anatomical part was sampled. Use the picklist provided in the template. If a desired term is missing from the picklist, contact emma_griffiths@sfu.ca. If not applicable, do not leave blank. Choose a null value. </v>
      </c>
      <c r="H42" s="34" t="str">
        <f>IFERROR(__xludf.DUMMYFUNCTION("""COMPUTED_VALUE"""),"Genital area [BTO:0003358]")</f>
        <v>Genital area [BTO:0003358]</v>
      </c>
      <c r="K42" s="35" t="s">
        <v>19</v>
      </c>
      <c r="L42" s="35" t="s">
        <v>19</v>
      </c>
      <c r="M42" s="35" t="s">
        <v>19</v>
      </c>
      <c r="N42" s="31" t="str">
        <f>IFERROR(__xludf.DUMMYFUNCTION("""COMPUTED_VALUE"""),"Mpox_international")</f>
        <v>Mpox_international</v>
      </c>
    </row>
    <row r="43">
      <c r="A43" s="29" t="str">
        <f>IFERROR(__xludf.DUMMYFUNCTION("""COMPUTED_VALUE"""),"Sample collection and processing")</f>
        <v>Sample collection and processing</v>
      </c>
      <c r="B43" s="29" t="str">
        <f>IFERROR(__xludf.DUMMYFUNCTION("""COMPUTED_VALUE"""),"body product")</f>
        <v>body product</v>
      </c>
      <c r="C43" s="29" t="b">
        <f>IFERROR(__xludf.DUMMYFUNCTION("""COMPUTED_VALUE"""),TRUE)</f>
        <v>1</v>
      </c>
      <c r="D43" s="29" t="str">
        <f>IFERROR(__xludf.DUMMYFUNCTION("""COMPUTED_VALUE"""),"")</f>
        <v/>
      </c>
      <c r="E43" s="29" t="str">
        <f>IFERROR(__xludf.DUMMYFUNCTION("""COMPUTED_VALUE"""),"GENEPIO:0001216")</f>
        <v>GENEPIO:0001216</v>
      </c>
      <c r="F43" s="29" t="str">
        <f>IFERROR(__xludf.DUMMYFUNCTION("""COMPUTED_VALUE"""),"A substance excreted/secreted from an organism e.g. feces, urine, sweat.")</f>
        <v>A substance excreted/secreted from an organism e.g. feces, urine, sweat.</v>
      </c>
      <c r="G43" s="29"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3" s="29" t="str">
        <f>IFERROR(__xludf.DUMMYFUNCTION("""COMPUTED_VALUE"""),"Pus")</f>
        <v>Pus</v>
      </c>
      <c r="I43" s="29"/>
      <c r="J43" s="29"/>
      <c r="K43" s="30" t="s">
        <v>19</v>
      </c>
      <c r="L43" s="30" t="s">
        <v>19</v>
      </c>
      <c r="M43" s="30" t="s">
        <v>19</v>
      </c>
      <c r="N43" s="31" t="str">
        <f>IFERROR(__xludf.DUMMYFUNCTION("""COMPUTED_VALUE"""),"Mpox")</f>
        <v>Mpox</v>
      </c>
    </row>
    <row r="44">
      <c r="A44" s="34" t="str">
        <f>IFERROR(__xludf.DUMMYFUNCTION("""COMPUTED_VALUE"""),"Sample collection and processing")</f>
        <v>Sample collection and processing</v>
      </c>
      <c r="B44" s="34" t="str">
        <f>IFERROR(__xludf.DUMMYFUNCTION("""COMPUTED_VALUE"""),"body product")</f>
        <v>body product</v>
      </c>
      <c r="C44" s="34" t="str">
        <f>IFERROR(__xludf.DUMMYFUNCTION("""COMPUTED_VALUE"""),"")</f>
        <v/>
      </c>
      <c r="D44" s="34" t="b">
        <f>IFERROR(__xludf.DUMMYFUNCTION("""COMPUTED_VALUE"""),TRUE)</f>
        <v>1</v>
      </c>
      <c r="E44" s="34" t="str">
        <f>IFERROR(__xludf.DUMMYFUNCTION("""COMPUTED_VALUE"""),"GENEPIO:0001216")</f>
        <v>GENEPIO:0001216</v>
      </c>
      <c r="F44" s="34" t="str">
        <f>IFERROR(__xludf.DUMMYFUNCTION("""COMPUTED_VALUE"""),"A substance excreted/secreted from an organism e.g. feces, urine, sweat.")</f>
        <v>A substance excreted/secreted from an organism e.g. feces, urine, sweat.</v>
      </c>
      <c r="G44" s="34" t="str">
        <f>IFERROR(__xludf.DUMMYFUNCTION("""COMPUTED_VALUE"""),"Provide a descriptor if a body product was sampled. Use the picklist provided in the template.  If a desired term is missing from the picklist, contact emma_griffiths@sfu.ca. If not applicable, do not leave blank. Choose a null value. ")</f>
        <v>Provide a descriptor if a body product was sampled. Use the picklist provided in the template.  If a desired term is missing from the picklist, contact emma_griffiths@sfu.ca. If not applicable, do not leave blank. Choose a null value. </v>
      </c>
      <c r="H44" s="34" t="str">
        <f>IFERROR(__xludf.DUMMYFUNCTION("""COMPUTED_VALUE"""),"Pus [UBERON:0000177]")</f>
        <v>Pus [UBERON:0000177]</v>
      </c>
      <c r="K44" s="35" t="s">
        <v>19</v>
      </c>
      <c r="L44" s="35" t="s">
        <v>19</v>
      </c>
      <c r="M44" s="35" t="s">
        <v>19</v>
      </c>
      <c r="N44" s="31" t="str">
        <f>IFERROR(__xludf.DUMMYFUNCTION("""COMPUTED_VALUE"""),"Mpox_international")</f>
        <v>Mpox_international</v>
      </c>
    </row>
    <row r="45">
      <c r="A45" s="34" t="str">
        <f>IFERROR(__xludf.DUMMYFUNCTION("""COMPUTED_VALUE"""),"Sample collection and processing")</f>
        <v>Sample collection and processing</v>
      </c>
      <c r="B45" s="34" t="str">
        <f>IFERROR(__xludf.DUMMYFUNCTION("""COMPUTED_VALUE"""),"environmental material")</f>
        <v>environmental material</v>
      </c>
      <c r="C45" s="34"/>
      <c r="D45" s="34" t="b">
        <f>IFERROR(__xludf.DUMMYFUNCTION("""COMPUTED_VALUE"""),TRUE)</f>
        <v>1</v>
      </c>
      <c r="E45" s="34" t="str">
        <f>IFERROR(__xludf.DUMMYFUNCTION("""COMPUTED_VALUE"""),"GENEPIO:0001223")</f>
        <v>GENEPIO:0001223</v>
      </c>
      <c r="F45" s="34" t="str">
        <f>IFERROR(__xludf.DUMMYFUNCTION("""COMPUTED_VALUE"""),"A substance obtained from the natural or man-made environment e.g. soil, water, sewage.")</f>
        <v>A substance obtained from the natural or man-made environment e.g. soil, water, sewage.</v>
      </c>
      <c r="G45" s="34" t="str">
        <f>IFERROR(__xludf.DUMMYFUNCTION("""COMPUTED_VALUE"""),"Provide a descriptor if an environmental material was sampled. Use the picklist provided in the template.  If a desired term is missing from the picklist, contact emma_griffiths@sfu.ca. If not applicable, do not leave blank. Choose a null value. ")</f>
        <v>Provide a descriptor if an environmental material was sampled. Use the picklist provided in the template.  If a desired term is missing from the picklist, contact emma_griffiths@sfu.ca. If not applicable, do not leave blank. Choose a null value. </v>
      </c>
      <c r="H45" s="34" t="str">
        <f>IFERROR(__xludf.DUMMYFUNCTION("""COMPUTED_VALUE"""),"Bed linen")</f>
        <v>Bed linen</v>
      </c>
      <c r="K45" s="35" t="s">
        <v>19</v>
      </c>
      <c r="L45" s="35" t="s">
        <v>19</v>
      </c>
      <c r="M45" s="35" t="s">
        <v>19</v>
      </c>
      <c r="N45" s="31" t="str">
        <f>IFERROR(__xludf.DUMMYFUNCTION("""COMPUTED_VALUE"""),"Mpox_international")</f>
        <v>Mpox_international</v>
      </c>
    </row>
    <row r="46">
      <c r="A46" s="29" t="str">
        <f>IFERROR(__xludf.DUMMYFUNCTION("""COMPUTED_VALUE"""),"Sample collection and processing")</f>
        <v>Sample collection and processing</v>
      </c>
      <c r="B46" s="29" t="str">
        <f>IFERROR(__xludf.DUMMYFUNCTION("""COMPUTED_VALUE"""),"collection device")</f>
        <v>collection device</v>
      </c>
      <c r="C46" s="29" t="b">
        <f>IFERROR(__xludf.DUMMYFUNCTION("""COMPUTED_VALUE"""),TRUE)</f>
        <v>1</v>
      </c>
      <c r="D46" s="29" t="str">
        <f>IFERROR(__xludf.DUMMYFUNCTION("""COMPUTED_VALUE"""),"")</f>
        <v/>
      </c>
      <c r="E46" s="29" t="str">
        <f>IFERROR(__xludf.DUMMYFUNCTION("""COMPUTED_VALUE"""),"GENEPIO:0001234")</f>
        <v>GENEPIO:0001234</v>
      </c>
      <c r="F46" s="29" t="str">
        <f>IFERROR(__xludf.DUMMYFUNCTION("""COMPUTED_VALUE"""),"The instrument or container used to collect the sample e.g. swab.")</f>
        <v>The instrument or container used to collect the sample e.g. swab.</v>
      </c>
      <c r="G46" s="29"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6" s="29" t="str">
        <f>IFERROR(__xludf.DUMMYFUNCTION("""COMPUTED_VALUE"""),"Swab")</f>
        <v>Swab</v>
      </c>
      <c r="I46" s="29"/>
      <c r="J46" s="29"/>
      <c r="K46" s="30" t="s">
        <v>19</v>
      </c>
      <c r="L46" s="30" t="s">
        <v>19</v>
      </c>
      <c r="M46" s="30" t="s">
        <v>19</v>
      </c>
      <c r="N46" s="31" t="str">
        <f>IFERROR(__xludf.DUMMYFUNCTION("""COMPUTED_VALUE"""),"Mpox")</f>
        <v>Mpox</v>
      </c>
    </row>
    <row r="47">
      <c r="A47" s="34" t="str">
        <f>IFERROR(__xludf.DUMMYFUNCTION("""COMPUTED_VALUE"""),"Sample collection and processing")</f>
        <v>Sample collection and processing</v>
      </c>
      <c r="B47" s="34" t="str">
        <f>IFERROR(__xludf.DUMMYFUNCTION("""COMPUTED_VALUE"""),"collection device")</f>
        <v>collection device</v>
      </c>
      <c r="C47" s="34" t="str">
        <f>IFERROR(__xludf.DUMMYFUNCTION("""COMPUTED_VALUE"""),"")</f>
        <v/>
      </c>
      <c r="D47" s="34" t="b">
        <f>IFERROR(__xludf.DUMMYFUNCTION("""COMPUTED_VALUE"""),TRUE)</f>
        <v>1</v>
      </c>
      <c r="E47" s="34" t="str">
        <f>IFERROR(__xludf.DUMMYFUNCTION("""COMPUTED_VALUE"""),"GENEPIO:0001234")</f>
        <v>GENEPIO:0001234</v>
      </c>
      <c r="F47" s="34" t="str">
        <f>IFERROR(__xludf.DUMMYFUNCTION("""COMPUTED_VALUE"""),"The instrument or container used to collect the sample e.g. swab.")</f>
        <v>The instrument or container used to collect the sample e.g. swab.</v>
      </c>
      <c r="G47" s="34" t="str">
        <f>IFERROR(__xludf.DUMMYFUNCTION("""COMPUTED_VALUE"""),"Provide a descriptor if a device was used for sampling. Use the picklist provided in the template. If a desired term is missing from the picklist, contact emma_griffiths@sfu.ca. If not applicable, do not leave blank. Choose a null value. ")</f>
        <v>Provide a descriptor if a device was used for sampling. Use the picklist provided in the template. If a desired term is missing from the picklist, contact emma_griffiths@sfu.ca. If not applicable, do not leave blank. Choose a null value. </v>
      </c>
      <c r="H47" s="34" t="str">
        <f>IFERROR(__xludf.DUMMYFUNCTION("""COMPUTED_VALUE"""),"Swab [GENEPIO:0100027]")</f>
        <v>Swab [GENEPIO:0100027]</v>
      </c>
      <c r="K47" s="35" t="s">
        <v>19</v>
      </c>
      <c r="L47" s="35" t="s">
        <v>19</v>
      </c>
      <c r="M47" s="35" t="s">
        <v>19</v>
      </c>
      <c r="N47" s="31" t="str">
        <f>IFERROR(__xludf.DUMMYFUNCTION("""COMPUTED_VALUE"""),"Mpox_international")</f>
        <v>Mpox_international</v>
      </c>
    </row>
    <row r="48">
      <c r="A48" s="29" t="str">
        <f>IFERROR(__xludf.DUMMYFUNCTION("""COMPUTED_VALUE"""),"Sample collection and processing")</f>
        <v>Sample collection and processing</v>
      </c>
      <c r="B48" s="29" t="str">
        <f>IFERROR(__xludf.DUMMYFUNCTION("""COMPUTED_VALUE"""),"collection method")</f>
        <v>collection method</v>
      </c>
      <c r="C48" s="29" t="b">
        <f>IFERROR(__xludf.DUMMYFUNCTION("""COMPUTED_VALUE"""),TRUE)</f>
        <v>1</v>
      </c>
      <c r="D48" s="29" t="str">
        <f>IFERROR(__xludf.DUMMYFUNCTION("""COMPUTED_VALUE"""),"")</f>
        <v/>
      </c>
      <c r="E48" s="29" t="str">
        <f>IFERROR(__xludf.DUMMYFUNCTION("""COMPUTED_VALUE"""),"GENEPIO:0001241")</f>
        <v>GENEPIO:0001241</v>
      </c>
      <c r="F48" s="29" t="str">
        <f>IFERROR(__xludf.DUMMYFUNCTION("""COMPUTED_VALUE"""),"The process used to collect the sample e.g. phlebotamy, necropsy.")</f>
        <v>The process used to collect the sample e.g. phlebotamy, necropsy.</v>
      </c>
      <c r="G48" s="29"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8" s="29" t="str">
        <f>IFERROR(__xludf.DUMMYFUNCTION("""COMPUTED_VALUE"""),"Biopsy")</f>
        <v>Biopsy</v>
      </c>
      <c r="I48" s="29"/>
      <c r="J48" s="29"/>
      <c r="K48" s="30" t="s">
        <v>19</v>
      </c>
      <c r="L48" s="30" t="s">
        <v>19</v>
      </c>
      <c r="M48" s="30" t="s">
        <v>19</v>
      </c>
      <c r="N48" s="31" t="str">
        <f>IFERROR(__xludf.DUMMYFUNCTION("""COMPUTED_VALUE"""),"Mpox")</f>
        <v>Mpox</v>
      </c>
    </row>
    <row r="49">
      <c r="A49" s="34" t="str">
        <f>IFERROR(__xludf.DUMMYFUNCTION("""COMPUTED_VALUE"""),"Sample collection and processing")</f>
        <v>Sample collection and processing</v>
      </c>
      <c r="B49" s="34" t="str">
        <f>IFERROR(__xludf.DUMMYFUNCTION("""COMPUTED_VALUE"""),"collection method")</f>
        <v>collection method</v>
      </c>
      <c r="C49" s="34" t="str">
        <f>IFERROR(__xludf.DUMMYFUNCTION("""COMPUTED_VALUE"""),"")</f>
        <v/>
      </c>
      <c r="D49" s="34" t="b">
        <f>IFERROR(__xludf.DUMMYFUNCTION("""COMPUTED_VALUE"""),TRUE)</f>
        <v>1</v>
      </c>
      <c r="E49" s="34" t="str">
        <f>IFERROR(__xludf.DUMMYFUNCTION("""COMPUTED_VALUE"""),"GENEPIO:0001241")</f>
        <v>GENEPIO:0001241</v>
      </c>
      <c r="F49" s="34" t="str">
        <f>IFERROR(__xludf.DUMMYFUNCTION("""COMPUTED_VALUE"""),"The process used to collect the sample e.g. phlebotamy, necropsy.")</f>
        <v>The process used to collect the sample e.g. phlebotamy, necropsy.</v>
      </c>
      <c r="G49" s="34" t="str">
        <f>IFERROR(__xludf.DUMMYFUNCTION("""COMPUTED_VALUE"""),"Provide a descriptor if a collection method was used for sampling. Use the picklist provided in the template.  If a desired term is missing from the picklist, contact emma_griffiths@sfu.ca. If not applicable, do not leave blank. Choose a null value. ")</f>
        <v>Provide a descriptor if a collection method was used for sampling. Use the picklist provided in the template.  If a desired term is missing from the picklist, contact emma_griffiths@sfu.ca. If not applicable, do not leave blank. Choose a null value. </v>
      </c>
      <c r="H49" s="34" t="str">
        <f>IFERROR(__xludf.DUMMYFUNCTION("""COMPUTED_VALUE"""),"Biopsy [OBI:0002650]")</f>
        <v>Biopsy [OBI:0002650]</v>
      </c>
      <c r="K49" s="35" t="s">
        <v>19</v>
      </c>
      <c r="L49" s="35" t="s">
        <v>19</v>
      </c>
      <c r="M49" s="35" t="s">
        <v>19</v>
      </c>
      <c r="N49" s="31" t="str">
        <f>IFERROR(__xludf.DUMMYFUNCTION("""COMPUTED_VALUE"""),"Mpox_international")</f>
        <v>Mpox_international</v>
      </c>
    </row>
    <row r="50">
      <c r="A50" s="29" t="str">
        <f>IFERROR(__xludf.DUMMYFUNCTION("""COMPUTED_VALUE"""),"Sample collection and processing")</f>
        <v>Sample collection and processing</v>
      </c>
      <c r="B50" s="29" t="str">
        <f>IFERROR(__xludf.DUMMYFUNCTION("""COMPUTED_VALUE"""),"specimen processing")</f>
        <v>specimen processing</v>
      </c>
      <c r="C50" s="29"/>
      <c r="D50" s="29"/>
      <c r="E50" s="29" t="str">
        <f>IFERROR(__xludf.DUMMYFUNCTION("""COMPUTED_VALUE"""),"GENEPIO:0001253")</f>
        <v>GENEPIO:0001253</v>
      </c>
      <c r="F50" s="29" t="str">
        <f>IFERROR(__xludf.DUMMYFUNCTION("""COMPUTED_VALUE"""),"Any processing applied to the sample during or after receiving the sample.")</f>
        <v>Any processing applied to the sample during or after receiving the sample.</v>
      </c>
      <c r="G50" s="29"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0" s="29" t="str">
        <f>IFERROR(__xludf.DUMMYFUNCTION("""COMPUTED_VALUE"""),"Specimens pooled")</f>
        <v>Specimens pooled</v>
      </c>
      <c r="I50" s="29"/>
      <c r="J50" s="29"/>
      <c r="K50" s="30" t="s">
        <v>19</v>
      </c>
      <c r="L50" s="30" t="s">
        <v>19</v>
      </c>
      <c r="M50" s="30" t="s">
        <v>19</v>
      </c>
      <c r="N50" s="31" t="str">
        <f>IFERROR(__xludf.DUMMYFUNCTION("""COMPUTED_VALUE"""),"Mpox")</f>
        <v>Mpox</v>
      </c>
    </row>
    <row r="51">
      <c r="A51" s="34" t="str">
        <f>IFERROR(__xludf.DUMMYFUNCTION("""COMPUTED_VALUE"""),"Sample collection and processing")</f>
        <v>Sample collection and processing</v>
      </c>
      <c r="B51" s="34" t="str">
        <f>IFERROR(__xludf.DUMMYFUNCTION("""COMPUTED_VALUE"""),"specimen processing")</f>
        <v>specimen processing</v>
      </c>
      <c r="C51" s="34"/>
      <c r="D51" s="34"/>
      <c r="E51" s="34" t="str">
        <f>IFERROR(__xludf.DUMMYFUNCTION("""COMPUTED_VALUE"""),"GENEPIO:0001253")</f>
        <v>GENEPIO:0001253</v>
      </c>
      <c r="F51" s="34" t="str">
        <f>IFERROR(__xludf.DUMMYFUNCTION("""COMPUTED_VALUE"""),"Any processing applied to the sample during or after receiving the sample.")</f>
        <v>Any processing applied to the sample during or after receiving the sample.</v>
      </c>
      <c r="G51" s="34" t="str">
        <f>IFERROR(__xludf.DUMMYFUNCTION("""COMPUTED_VALUE"""),"Critical for interpreting data. Select all the applicable processes from the pick list. If virus was passaged, include information in ""lab host"", ""passage number"", and ""passage method"" fields. If none of the processes in the pick list apply, put ""n"&amp;"ot applicable"".")</f>
        <v>Critical for interpreting data. Select all the applicable processes from the pick list. If virus was passaged, include information in "lab host", "passage number", and "passage method" fields. If none of the processes in the pick list apply, put "not applicable".</v>
      </c>
      <c r="H51" s="34" t="str">
        <f>IFERROR(__xludf.DUMMYFUNCTION("""COMPUTED_VALUE"""),"Specimens pooled [OBI:0600016]")</f>
        <v>Specimens pooled [OBI:0600016]</v>
      </c>
      <c r="K51" s="35" t="s">
        <v>19</v>
      </c>
      <c r="L51" s="35" t="s">
        <v>19</v>
      </c>
      <c r="M51" s="35" t="s">
        <v>19</v>
      </c>
      <c r="N51" s="31" t="str">
        <f>IFERROR(__xludf.DUMMYFUNCTION("""COMPUTED_VALUE"""),"Mpox_international")</f>
        <v>Mpox_international</v>
      </c>
    </row>
    <row r="52">
      <c r="A52" s="29" t="str">
        <f>IFERROR(__xludf.DUMMYFUNCTION("""COMPUTED_VALUE"""),"Sample collection and processing")</f>
        <v>Sample collection and processing</v>
      </c>
      <c r="B52" s="29" t="str">
        <f>IFERROR(__xludf.DUMMYFUNCTION("""COMPUTED_VALUE"""),"specimen processing details")</f>
        <v>specimen processing details</v>
      </c>
      <c r="C52" s="29"/>
      <c r="D52" s="29"/>
      <c r="E52" s="29" t="str">
        <f>IFERROR(__xludf.DUMMYFUNCTION("""COMPUTED_VALUE"""),"GENEPIO:0100311")</f>
        <v>GENEPIO:0100311</v>
      </c>
      <c r="F52" s="29" t="str">
        <f>IFERROR(__xludf.DUMMYFUNCTION("""COMPUTED_VALUE"""),"Detailed information regarding the processing applied to a sample during or after receiving the sample.")</f>
        <v>Detailed information regarding the processing applied to a sample during or after receiving the sample.</v>
      </c>
      <c r="G52" s="29" t="str">
        <f>IFERROR(__xludf.DUMMYFUNCTION("""COMPUTED_VALUE"""),"Provide a free text description of any processing details applied to a sample.")</f>
        <v>Provide a free text description of any processing details applied to a sample.</v>
      </c>
      <c r="H52" s="29" t="str">
        <f>IFERROR(__xludf.DUMMYFUNCTION("""COMPUTED_VALUE"""),"5 swabs from different body sites were pooled and further prepared as a single sample during library prep.")</f>
        <v>5 swabs from different body sites were pooled and further prepared as a single sample during library prep.</v>
      </c>
      <c r="I52" s="29"/>
      <c r="J52" s="29"/>
      <c r="K52" s="30" t="s">
        <v>19</v>
      </c>
      <c r="L52" s="30" t="s">
        <v>19</v>
      </c>
      <c r="M52" s="30" t="s">
        <v>19</v>
      </c>
      <c r="N52" s="31" t="str">
        <f>IFERROR(__xludf.DUMMYFUNCTION("""COMPUTED_VALUE"""),"Mpox;Mpox_international")</f>
        <v>Mpox;Mpox_international</v>
      </c>
    </row>
    <row r="53">
      <c r="A53" s="29" t="str">
        <f>IFERROR(__xludf.DUMMYFUNCTION("""COMPUTED_VALUE"""),"Sample collection and processing")</f>
        <v>Sample collection and processing</v>
      </c>
      <c r="B53" s="29" t="str">
        <f>IFERROR(__xludf.DUMMYFUNCTION("""COMPUTED_VALUE"""),"experimental specimen role type")</f>
        <v>experimental specimen role type</v>
      </c>
      <c r="C53" s="29"/>
      <c r="D53" s="29"/>
      <c r="E53" s="33" t="str">
        <f>IFERROR(__xludf.DUMMYFUNCTION("""COMPUTED_VALUE"""),"GENEPIO:0100921")</f>
        <v>GENEPIO:0100921</v>
      </c>
      <c r="F53" s="29" t="str">
        <f>IFERROR(__xludf.DUMMYFUNCTION("""COMPUTED_VALUE"""),"The type of role that the sample represents in the experiment.")</f>
        <v>The type of role that the sample represents in the experiment.</v>
      </c>
      <c r="G53"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3" s="29" t="str">
        <f>IFERROR(__xludf.DUMMYFUNCTION("""COMPUTED_VALUE"""),"Positive experimental control")</f>
        <v>Positive experimental control</v>
      </c>
      <c r="I53" s="29"/>
      <c r="J53" s="29"/>
      <c r="K53" s="30" t="s">
        <v>20</v>
      </c>
      <c r="L53" s="30" t="s">
        <v>20</v>
      </c>
      <c r="M53" s="30" t="s">
        <v>20</v>
      </c>
      <c r="N53" s="31" t="str">
        <f>IFERROR(__xludf.DUMMYFUNCTION("""COMPUTED_VALUE"""),"Mpox")</f>
        <v>Mpox</v>
      </c>
    </row>
    <row r="54">
      <c r="A54" s="29" t="str">
        <f>IFERROR(__xludf.DUMMYFUNCTION("""COMPUTED_VALUE"""),"Sample collection and processing")</f>
        <v>Sample collection and processing</v>
      </c>
      <c r="B54" s="29" t="str">
        <f>IFERROR(__xludf.DUMMYFUNCTION("""COMPUTED_VALUE"""),"experimental specimen role type")</f>
        <v>experimental specimen role type</v>
      </c>
      <c r="C54" s="29"/>
      <c r="D54" s="29"/>
      <c r="E54" s="33" t="str">
        <f>IFERROR(__xludf.DUMMYFUNCTION("""COMPUTED_VALUE"""),"GENEPIO:0100921")</f>
        <v>GENEPIO:0100921</v>
      </c>
      <c r="F54" s="29" t="str">
        <f>IFERROR(__xludf.DUMMYFUNCTION("""COMPUTED_VALUE"""),"The type of role that the sample represents in the experiment.")</f>
        <v>The type of role that the sample represents in the experiment.</v>
      </c>
      <c r="G54" s="29" t="str">
        <f>IFERROR(__xludf.DUMMYFUNCTION("""COMPUTED_VALUE"""),"Samples can play different types of roles in experiments. A sample under study in one experiment may act as a control or be a replicate of another sample in another experiment. This field is used to distinguish samples under study from controls, replicate"&amp;"s, etc.  If the sample acted as an experimental control or a replicate, select a role type from the picklist. If the sample was not a control, leave blank or select ""Not Applicable"".")</f>
        <v>Samples can play different types of roles in experiments. A sample under study in one experiment may act as a control or be a replicate of another sample in another experiment. This field is used to distinguish samples under study from controls, replicates, etc.  If the sample acted as an experimental control or a replicate, select a role type from the picklist. If the sample was not a control, leave blank or select "Not Applicable".</v>
      </c>
      <c r="H54" s="29" t="str">
        <f>IFERROR(__xludf.DUMMYFUNCTION("""COMPUTED_VALUE"""),"Positive experimental control [GENEPIO:0101018]")</f>
        <v>Positive experimental control [GENEPIO:0101018]</v>
      </c>
      <c r="I54" s="29"/>
      <c r="J54" s="29"/>
      <c r="K54" s="30" t="s">
        <v>20</v>
      </c>
      <c r="L54" s="30" t="s">
        <v>20</v>
      </c>
      <c r="M54" s="30" t="s">
        <v>20</v>
      </c>
      <c r="N54" s="31" t="str">
        <f>IFERROR(__xludf.DUMMYFUNCTION("""COMPUTED_VALUE"""),"Mpox_international")</f>
        <v>Mpox_international</v>
      </c>
    </row>
    <row r="55">
      <c r="A55" s="34" t="str">
        <f>IFERROR(__xludf.DUMMYFUNCTION("""COMPUTED_VALUE"""),"Sample collection and processing")</f>
        <v>Sample collection and processing</v>
      </c>
      <c r="B55" s="34" t="str">
        <f>IFERROR(__xludf.DUMMYFUNCTION("""COMPUTED_VALUE"""),"experimental control details")</f>
        <v>experimental control details</v>
      </c>
      <c r="C55" s="34"/>
      <c r="D55" s="34"/>
      <c r="E55" s="39" t="str">
        <f>IFERROR(__xludf.DUMMYFUNCTION("""COMPUTED_VALUE"""),"GENEPIO:0100922")</f>
        <v>GENEPIO:0100922</v>
      </c>
      <c r="F55" s="34" t="str">
        <f>IFERROR(__xludf.DUMMYFUNCTION("""COMPUTED_VALUE"""),"The details regarding the experimental control contained in the sample.")</f>
        <v>The details regarding the experimental control contained in the sample.</v>
      </c>
      <c r="G55" s="34" t="str">
        <f>IFERROR(__xludf.DUMMYFUNCTION("""COMPUTED_VALUE"""),"Provide details regarding the nature of the reference strain used as a control, or what is was used to monitor.")</f>
        <v>Provide details regarding the nature of the reference strain used as a control, or what is was used to monitor.</v>
      </c>
      <c r="H55" s="34" t="str">
        <f>IFERROR(__xludf.DUMMYFUNCTION("""COMPUTED_VALUE"""),"Human coronavirus 229E (HCoV-229E) spiked in sample as process control")</f>
        <v>Human coronavirus 229E (HCoV-229E) spiked in sample as process control</v>
      </c>
      <c r="K55" s="30" t="s">
        <v>20</v>
      </c>
      <c r="L55" s="30" t="s">
        <v>20</v>
      </c>
      <c r="M55" s="30" t="s">
        <v>20</v>
      </c>
      <c r="N55" s="31" t="str">
        <f>IFERROR(__xludf.DUMMYFUNCTION("""COMPUTED_VALUE"""),"Mpox;Mpox_international")</f>
        <v>Mpox;Mpox_international</v>
      </c>
    </row>
    <row r="56">
      <c r="A56" s="29"/>
      <c r="B56" s="29" t="str">
        <f>IFERROR(__xludf.DUMMYFUNCTION("""COMPUTED_VALUE"""),"Host Information")</f>
        <v>Host Information</v>
      </c>
      <c r="C56" s="29" t="str">
        <f>IFERROR(__xludf.DUMMYFUNCTION("""COMPUTED_VALUE"""),"")</f>
        <v/>
      </c>
      <c r="D56" s="29" t="str">
        <f>IFERROR(__xludf.DUMMYFUNCTION("""COMPUTED_VALUE"""),"")</f>
        <v/>
      </c>
      <c r="E56" s="29" t="str">
        <f>IFERROR(__xludf.DUMMYFUNCTION("""COMPUTED_VALUE"""),"GENEPIO:0001268")</f>
        <v>GENEPIO:0001268</v>
      </c>
      <c r="F56" s="29"/>
      <c r="G56" s="29"/>
      <c r="H56" s="29"/>
      <c r="I56" s="29"/>
      <c r="J56" s="29"/>
      <c r="K56" s="30" t="s">
        <v>19</v>
      </c>
      <c r="L56" s="30" t="s">
        <v>19</v>
      </c>
      <c r="M56" s="30" t="s">
        <v>19</v>
      </c>
      <c r="N56" s="31" t="str">
        <f>IFERROR(__xludf.DUMMYFUNCTION("""COMPUTED_VALUE"""),"Mpox;Mpox_international")</f>
        <v>Mpox;Mpox_international</v>
      </c>
    </row>
    <row r="57">
      <c r="A57" s="34" t="str">
        <f>IFERROR(__xludf.DUMMYFUNCTION("""COMPUTED_VALUE"""),"Host Information")</f>
        <v>Host Information</v>
      </c>
      <c r="B57" s="34" t="str">
        <f>IFERROR(__xludf.DUMMYFUNCTION("""COMPUTED_VALUE"""),"host (common name)")</f>
        <v>host (common name)</v>
      </c>
      <c r="C57" s="34"/>
      <c r="D57" s="34"/>
      <c r="E57" s="34" t="str">
        <f>IFERROR(__xludf.DUMMYFUNCTION("""COMPUTED_VALUE"""),"GENEPIO:0001386")</f>
        <v>GENEPIO:0001386</v>
      </c>
      <c r="F57" s="34" t="str">
        <f>IFERROR(__xludf.DUMMYFUNCTION("""COMPUTED_VALUE"""),"The commonly used name of the host.")</f>
        <v>The commonly used name of the host.</v>
      </c>
      <c r="G57" s="34"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57" s="34" t="str">
        <f>IFERROR(__xludf.DUMMYFUNCTION("""COMPUTED_VALUE"""),"Human")</f>
        <v>Human</v>
      </c>
      <c r="K57" s="35" t="s">
        <v>19</v>
      </c>
      <c r="L57" s="35" t="s">
        <v>19</v>
      </c>
      <c r="M57" s="35" t="s">
        <v>19</v>
      </c>
      <c r="N57" s="31" t="str">
        <f>IFERROR(__xludf.DUMMYFUNCTION("""COMPUTED_VALUE"""),"Mpox")</f>
        <v>Mpox</v>
      </c>
    </row>
    <row r="58">
      <c r="A58" s="29" t="str">
        <f>IFERROR(__xludf.DUMMYFUNCTION("""COMPUTED_VALUE"""),"Host Information")</f>
        <v>Host Information</v>
      </c>
      <c r="B58" s="29" t="str">
        <f>IFERROR(__xludf.DUMMYFUNCTION("""COMPUTED_VALUE"""),"host (common name)")</f>
        <v>host (common name)</v>
      </c>
      <c r="C58" s="29"/>
      <c r="D58" s="29"/>
      <c r="E58" s="29" t="str">
        <f>IFERROR(__xludf.DUMMYFUNCTION("""COMPUTED_VALUE"""),"GENEPIO:0001386")</f>
        <v>GENEPIO:0001386</v>
      </c>
      <c r="F58" s="29" t="str">
        <f>IFERROR(__xludf.DUMMYFUNCTION("""COMPUTED_VALUE"""),"The commonly used name of the host.")</f>
        <v>The commonly used name of the host.</v>
      </c>
      <c r="G58" s="29" t="str">
        <f>IFERROR(__xludf.DUMMYFUNCTION("""COMPUTED_VALUE"""),"Common name or scientific name are required if there was a host. Both can be provided, if known. Use terms from the pick lists in the template. Common name e.g. human. ")</f>
        <v>Common name or scientific name are required if there was a host. Both can be provided, if known. Use terms from the pick lists in the template. Common name e.g. human. </v>
      </c>
      <c r="H58" s="29" t="str">
        <f>IFERROR(__xludf.DUMMYFUNCTION("""COMPUTED_VALUE"""),"Human")</f>
        <v>Human</v>
      </c>
      <c r="I58" s="29"/>
      <c r="J58" s="29"/>
      <c r="K58" s="30" t="s">
        <v>19</v>
      </c>
      <c r="L58" s="30" t="s">
        <v>19</v>
      </c>
      <c r="M58" s="30" t="s">
        <v>19</v>
      </c>
      <c r="N58" s="31" t="str">
        <f>IFERROR(__xludf.DUMMYFUNCTION("""COMPUTED_VALUE"""),"Mpox_international")</f>
        <v>Mpox_international</v>
      </c>
    </row>
    <row r="59">
      <c r="A59" s="34" t="str">
        <f>IFERROR(__xludf.DUMMYFUNCTION("""COMPUTED_VALUE"""),"Host Information")</f>
        <v>Host Information</v>
      </c>
      <c r="B59" s="34" t="str">
        <f>IFERROR(__xludf.DUMMYFUNCTION("""COMPUTED_VALUE"""),"host (scientific name)")</f>
        <v>host (scientific name)</v>
      </c>
      <c r="C59" s="34" t="b">
        <f>IFERROR(__xludf.DUMMYFUNCTION("""COMPUTED_VALUE"""),TRUE)</f>
        <v>1</v>
      </c>
      <c r="D59" s="34" t="str">
        <f>IFERROR(__xludf.DUMMYFUNCTION("""COMPUTED_VALUE"""),"")</f>
        <v/>
      </c>
      <c r="E59" s="34" t="str">
        <f>IFERROR(__xludf.DUMMYFUNCTION("""COMPUTED_VALUE"""),"GENEPIO:0001387")</f>
        <v>GENEPIO:0001387</v>
      </c>
      <c r="F59" s="34" t="str">
        <f>IFERROR(__xludf.DUMMYFUNCTION("""COMPUTED_VALUE"""),"The taxonomic, or scientific name of the host.")</f>
        <v>The taxonomic, or scientific name of the host.</v>
      </c>
      <c r="G59" s="34"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59" s="34" t="str">
        <f>IFERROR(__xludf.DUMMYFUNCTION("""COMPUTED_VALUE"""),"Homo sapiens")</f>
        <v>Homo sapiens</v>
      </c>
      <c r="K59" s="35" t="s">
        <v>19</v>
      </c>
      <c r="L59" s="35" t="s">
        <v>19</v>
      </c>
      <c r="M59" s="35" t="s">
        <v>19</v>
      </c>
      <c r="N59" s="31" t="str">
        <f>IFERROR(__xludf.DUMMYFUNCTION("""COMPUTED_VALUE"""),"Mpox")</f>
        <v>Mpox</v>
      </c>
    </row>
    <row r="60">
      <c r="A60" s="29" t="str">
        <f>IFERROR(__xludf.DUMMYFUNCTION("""COMPUTED_VALUE"""),"Host Information")</f>
        <v>Host Information</v>
      </c>
      <c r="B60" s="29" t="str">
        <f>IFERROR(__xludf.DUMMYFUNCTION("""COMPUTED_VALUE"""),"host (scientific name)")</f>
        <v>host (scientific name)</v>
      </c>
      <c r="C60" s="29" t="b">
        <f>IFERROR(__xludf.DUMMYFUNCTION("""COMPUTED_VALUE"""),TRUE)</f>
        <v>1</v>
      </c>
      <c r="D60" s="29" t="str">
        <f>IFERROR(__xludf.DUMMYFUNCTION("""COMPUTED_VALUE"""),"")</f>
        <v/>
      </c>
      <c r="E60" s="29" t="str">
        <f>IFERROR(__xludf.DUMMYFUNCTION("""COMPUTED_VALUE"""),"GENEPIO:0001387")</f>
        <v>GENEPIO:0001387</v>
      </c>
      <c r="F60" s="29" t="str">
        <f>IFERROR(__xludf.DUMMYFUNCTION("""COMPUTED_VALUE"""),"The taxonomic, or scientific name of the host.")</f>
        <v>The taxonomic, or scientific name of the host.</v>
      </c>
      <c r="G60" s="29" t="str">
        <f>IFERROR(__xludf.DUMMYFUNCTION("""COMPUTED_VALUE"""),"Common name or scientific name are required if there was a host. Both can be provided, if known. Use terms from the pick lists in the template. Scientific name e.g. Homo sapiens, If the sample was environmental, put ""not applicable")</f>
        <v>Common name or scientific name are required if there was a host. Both can be provided, if known. Use terms from the pick lists in the template. Scientific name e.g. Homo sapiens, If the sample was environmental, put "not applicable</v>
      </c>
      <c r="H60" s="29" t="str">
        <f>IFERROR(__xludf.DUMMYFUNCTION("""COMPUTED_VALUE"""),"Homo sapiens [NCBITaxon:9606]")</f>
        <v>Homo sapiens [NCBITaxon:9606]</v>
      </c>
      <c r="I60" s="29"/>
      <c r="J60" s="29"/>
      <c r="K60" s="30" t="s">
        <v>19</v>
      </c>
      <c r="L60" s="30" t="s">
        <v>19</v>
      </c>
      <c r="M60" s="30" t="s">
        <v>19</v>
      </c>
      <c r="N60" s="31" t="str">
        <f>IFERROR(__xludf.DUMMYFUNCTION("""COMPUTED_VALUE"""),"Mpox_international")</f>
        <v>Mpox_international</v>
      </c>
    </row>
    <row r="61">
      <c r="A61" s="34" t="str">
        <f>IFERROR(__xludf.DUMMYFUNCTION("""COMPUTED_VALUE"""),"Host Information")</f>
        <v>Host Information</v>
      </c>
      <c r="B61" s="34" t="str">
        <f>IFERROR(__xludf.DUMMYFUNCTION("""COMPUTED_VALUE"""),"host health state")</f>
        <v>host health state</v>
      </c>
      <c r="C61" s="34"/>
      <c r="D61" s="34" t="str">
        <f>IFERROR(__xludf.DUMMYFUNCTION("""COMPUTED_VALUE"""),"")</f>
        <v/>
      </c>
      <c r="E61" s="34" t="str">
        <f>IFERROR(__xludf.DUMMYFUNCTION("""COMPUTED_VALUE"""),"GENEPIO:0001388")</f>
        <v>GENEPIO:0001388</v>
      </c>
      <c r="F61" s="34" t="str">
        <f>IFERROR(__xludf.DUMMYFUNCTION("""COMPUTED_VALUE"""),"Health status of the host at the time of sample collection.")</f>
        <v>Health status of the host at the time of sample collection.</v>
      </c>
      <c r="G61" s="34" t="str">
        <f>IFERROR(__xludf.DUMMYFUNCTION("""COMPUTED_VALUE"""),"If known, select a value from the pick list.")</f>
        <v>If known, select a value from the pick list.</v>
      </c>
      <c r="H61" s="34" t="str">
        <f>IFERROR(__xludf.DUMMYFUNCTION("""COMPUTED_VALUE"""),"Asymptomatic ")</f>
        <v>Asymptomatic </v>
      </c>
      <c r="K61" s="35" t="s">
        <v>19</v>
      </c>
      <c r="L61" s="35" t="s">
        <v>19</v>
      </c>
      <c r="M61" s="35" t="s">
        <v>19</v>
      </c>
      <c r="N61" s="31" t="str">
        <f>IFERROR(__xludf.DUMMYFUNCTION("""COMPUTED_VALUE"""),"Mpox")</f>
        <v>Mpox</v>
      </c>
    </row>
    <row r="62">
      <c r="A62" s="29" t="str">
        <f>IFERROR(__xludf.DUMMYFUNCTION("""COMPUTED_VALUE"""),"Host Information")</f>
        <v>Host Information</v>
      </c>
      <c r="B62" s="29" t="str">
        <f>IFERROR(__xludf.DUMMYFUNCTION("""COMPUTED_VALUE"""),"host health state")</f>
        <v>host health state</v>
      </c>
      <c r="C62" s="29"/>
      <c r="D62" s="29" t="str">
        <f>IFERROR(__xludf.DUMMYFUNCTION("""COMPUTED_VALUE"""),"")</f>
        <v/>
      </c>
      <c r="E62" s="29" t="str">
        <f>IFERROR(__xludf.DUMMYFUNCTION("""COMPUTED_VALUE"""),"GENEPIO:0001388")</f>
        <v>GENEPIO:0001388</v>
      </c>
      <c r="F62" s="29" t="str">
        <f>IFERROR(__xludf.DUMMYFUNCTION("""COMPUTED_VALUE"""),"Health status of the host at the time of sample collection.")</f>
        <v>Health status of the host at the time of sample collection.</v>
      </c>
      <c r="G62" s="29" t="str">
        <f>IFERROR(__xludf.DUMMYFUNCTION("""COMPUTED_VALUE"""),"If known, select a value from the pick list.")</f>
        <v>If known, select a value from the pick list.</v>
      </c>
      <c r="H62" s="29" t="str">
        <f>IFERROR(__xludf.DUMMYFUNCTION("""COMPUTED_VALUE"""),"Asymptomatic [NCIT:C3833]")</f>
        <v>Asymptomatic [NCIT:C3833]</v>
      </c>
      <c r="I62" s="29"/>
      <c r="J62" s="29"/>
      <c r="K62" s="30" t="s">
        <v>19</v>
      </c>
      <c r="L62" s="30" t="s">
        <v>19</v>
      </c>
      <c r="M62" s="30" t="s">
        <v>19</v>
      </c>
      <c r="N62" s="31" t="str">
        <f>IFERROR(__xludf.DUMMYFUNCTION("""COMPUTED_VALUE"""),"Mpox_international")</f>
        <v>Mpox_international</v>
      </c>
    </row>
    <row r="63">
      <c r="A63" s="34" t="str">
        <f>IFERROR(__xludf.DUMMYFUNCTION("""COMPUTED_VALUE"""),"Host Information")</f>
        <v>Host Information</v>
      </c>
      <c r="B63" s="34" t="str">
        <f>IFERROR(__xludf.DUMMYFUNCTION("""COMPUTED_VALUE"""),"host health status details")</f>
        <v>host health status details</v>
      </c>
      <c r="C63" s="34"/>
      <c r="D63" s="34"/>
      <c r="E63" s="34" t="str">
        <f>IFERROR(__xludf.DUMMYFUNCTION("""COMPUTED_VALUE"""),"GENEPIO:0001389")</f>
        <v>GENEPIO:0001389</v>
      </c>
      <c r="F63" s="34" t="str">
        <f>IFERROR(__xludf.DUMMYFUNCTION("""COMPUTED_VALUE"""),"Further details pertaining to the health or disease status of the host at time of collection.")</f>
        <v>Further details pertaining to the health or disease status of the host at time of collection.</v>
      </c>
      <c r="G63" s="34" t="str">
        <f>IFERROR(__xludf.DUMMYFUNCTION("""COMPUTED_VALUE"""),"If known, select a descriptor from the pick list provided in the template.")</f>
        <v>If known, select a descriptor from the pick list provided in the template.</v>
      </c>
      <c r="H63" s="34" t="str">
        <f>IFERROR(__xludf.DUMMYFUNCTION("""COMPUTED_VALUE"""),"Hospitalized ")</f>
        <v>Hospitalized </v>
      </c>
      <c r="K63" s="35" t="s">
        <v>19</v>
      </c>
      <c r="L63" s="35" t="s">
        <v>19</v>
      </c>
      <c r="M63" s="35" t="s">
        <v>19</v>
      </c>
      <c r="N63" s="31" t="str">
        <f>IFERROR(__xludf.DUMMYFUNCTION("""COMPUTED_VALUE"""),"Mpox")</f>
        <v>Mpox</v>
      </c>
    </row>
    <row r="64">
      <c r="A64" s="29" t="str">
        <f>IFERROR(__xludf.DUMMYFUNCTION("""COMPUTED_VALUE"""),"Host Information")</f>
        <v>Host Information</v>
      </c>
      <c r="B64" s="29" t="str">
        <f>IFERROR(__xludf.DUMMYFUNCTION("""COMPUTED_VALUE"""),"host health status details")</f>
        <v>host health status details</v>
      </c>
      <c r="C64" s="29"/>
      <c r="D64" s="29"/>
      <c r="E64" s="29" t="str">
        <f>IFERROR(__xludf.DUMMYFUNCTION("""COMPUTED_VALUE"""),"GENEPIO:0001389")</f>
        <v>GENEPIO:0001389</v>
      </c>
      <c r="F64" s="29" t="str">
        <f>IFERROR(__xludf.DUMMYFUNCTION("""COMPUTED_VALUE"""),"Further details pertaining to the health or disease status of the host at time of collection.")</f>
        <v>Further details pertaining to the health or disease status of the host at time of collection.</v>
      </c>
      <c r="G64" s="29" t="str">
        <f>IFERROR(__xludf.DUMMYFUNCTION("""COMPUTED_VALUE"""),"If known, select a descriptor from the pick list provided in the template.")</f>
        <v>If known, select a descriptor from the pick list provided in the template.</v>
      </c>
      <c r="H64" s="29" t="str">
        <f>IFERROR(__xludf.DUMMYFUNCTION("""COMPUTED_VALUE"""),"Hospitalized [NCIT:C25179]")</f>
        <v>Hospitalized [NCIT:C25179]</v>
      </c>
      <c r="I64" s="29"/>
      <c r="J64" s="29"/>
      <c r="K64" s="30" t="s">
        <v>19</v>
      </c>
      <c r="L64" s="30" t="s">
        <v>19</v>
      </c>
      <c r="M64" s="30" t="s">
        <v>19</v>
      </c>
      <c r="N64" s="31" t="str">
        <f>IFERROR(__xludf.DUMMYFUNCTION("""COMPUTED_VALUE"""),"Mpox_international")</f>
        <v>Mpox_international</v>
      </c>
    </row>
    <row r="65">
      <c r="A65" s="34" t="str">
        <f>IFERROR(__xludf.DUMMYFUNCTION("""COMPUTED_VALUE"""),"Host Information")</f>
        <v>Host Information</v>
      </c>
      <c r="B65" s="34" t="str">
        <f>IFERROR(__xludf.DUMMYFUNCTION("""COMPUTED_VALUE"""),"host health outcome")</f>
        <v>host health outcome</v>
      </c>
      <c r="C65" s="34"/>
      <c r="D65" s="34" t="str">
        <f>IFERROR(__xludf.DUMMYFUNCTION("""COMPUTED_VALUE"""),"")</f>
        <v/>
      </c>
      <c r="E65" s="34" t="str">
        <f>IFERROR(__xludf.DUMMYFUNCTION("""COMPUTED_VALUE"""),"GENEPIO:0001389")</f>
        <v>GENEPIO:0001389</v>
      </c>
      <c r="F65" s="34" t="str">
        <f>IFERROR(__xludf.DUMMYFUNCTION("""COMPUTED_VALUE"""),"Disease outcome in the host.")</f>
        <v>Disease outcome in the host.</v>
      </c>
      <c r="G65" s="34" t="str">
        <f>IFERROR(__xludf.DUMMYFUNCTION("""COMPUTED_VALUE"""),"If known, select a value from the pick list.")</f>
        <v>If known, select a value from the pick list.</v>
      </c>
      <c r="H65" s="34" t="str">
        <f>IFERROR(__xludf.DUMMYFUNCTION("""COMPUTED_VALUE"""),"Recovered ")</f>
        <v>Recovered </v>
      </c>
      <c r="K65" s="35" t="s">
        <v>19</v>
      </c>
      <c r="L65" s="35" t="s">
        <v>19</v>
      </c>
      <c r="M65" s="35" t="s">
        <v>19</v>
      </c>
      <c r="N65" s="31" t="str">
        <f>IFERROR(__xludf.DUMMYFUNCTION("""COMPUTED_VALUE"""),"Mpox")</f>
        <v>Mpox</v>
      </c>
    </row>
    <row r="66">
      <c r="A66" s="34" t="str">
        <f>IFERROR(__xludf.DUMMYFUNCTION("""COMPUTED_VALUE"""),"Host Information")</f>
        <v>Host Information</v>
      </c>
      <c r="B66" s="34" t="str">
        <f>IFERROR(__xludf.DUMMYFUNCTION("""COMPUTED_VALUE"""),"host health outcome")</f>
        <v>host health outcome</v>
      </c>
      <c r="C66" s="34"/>
      <c r="D66" s="34" t="str">
        <f>IFERROR(__xludf.DUMMYFUNCTION("""COMPUTED_VALUE"""),"")</f>
        <v/>
      </c>
      <c r="E66" s="34" t="str">
        <f>IFERROR(__xludf.DUMMYFUNCTION("""COMPUTED_VALUE"""),"GENEPIO:0001389")</f>
        <v>GENEPIO:0001389</v>
      </c>
      <c r="F66" s="34" t="str">
        <f>IFERROR(__xludf.DUMMYFUNCTION("""COMPUTED_VALUE"""),"Disease outcome in the host.")</f>
        <v>Disease outcome in the host.</v>
      </c>
      <c r="G66" s="34" t="str">
        <f>IFERROR(__xludf.DUMMYFUNCTION("""COMPUTED_VALUE"""),"If known, select a value from the pick list.")</f>
        <v>If known, select a value from the pick list.</v>
      </c>
      <c r="H66" s="34" t="str">
        <f>IFERROR(__xludf.DUMMYFUNCTION("""COMPUTED_VALUE"""),"Recovered [NCIT:C49498]")</f>
        <v>Recovered [NCIT:C49498]</v>
      </c>
      <c r="K66" s="35" t="s">
        <v>19</v>
      </c>
      <c r="L66" s="35" t="s">
        <v>19</v>
      </c>
      <c r="M66" s="35" t="s">
        <v>19</v>
      </c>
      <c r="N66" s="31" t="str">
        <f>IFERROR(__xludf.DUMMYFUNCTION("""COMPUTED_VALUE"""),"Mpox_international")</f>
        <v>Mpox_international</v>
      </c>
    </row>
    <row r="67">
      <c r="A67" s="29" t="str">
        <f>IFERROR(__xludf.DUMMYFUNCTION("""COMPUTED_VALUE"""),"Host Information")</f>
        <v>Host Information</v>
      </c>
      <c r="B67" s="29" t="str">
        <f>IFERROR(__xludf.DUMMYFUNCTION("""COMPUTED_VALUE"""),"host disease")</f>
        <v>host disease</v>
      </c>
      <c r="C67" s="29" t="b">
        <f>IFERROR(__xludf.DUMMYFUNCTION("""COMPUTED_VALUE"""),TRUE)</f>
        <v>1</v>
      </c>
      <c r="D67" s="29" t="str">
        <f>IFERROR(__xludf.DUMMYFUNCTION("""COMPUTED_VALUE"""),"")</f>
        <v/>
      </c>
      <c r="E67" s="29" t="str">
        <f>IFERROR(__xludf.DUMMYFUNCTION("""COMPUTED_VALUE"""),"GENEPIO:0001391")</f>
        <v>GENEPIO:0001391</v>
      </c>
      <c r="F67" s="29" t="str">
        <f>IFERROR(__xludf.DUMMYFUNCTION("""COMPUTED_VALUE"""),"The name of the disease experienced by the host.")</f>
        <v>The name of the disease experienced by the host.</v>
      </c>
      <c r="G67" s="29"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67" s="29" t="str">
        <f>IFERROR(__xludf.DUMMYFUNCTION("""COMPUTED_VALUE"""),"Mpox")</f>
        <v>Mpox</v>
      </c>
      <c r="I67" s="29"/>
      <c r="J67" s="29"/>
      <c r="K67" s="30" t="s">
        <v>19</v>
      </c>
      <c r="L67" s="30" t="s">
        <v>19</v>
      </c>
      <c r="M67" s="30" t="s">
        <v>19</v>
      </c>
      <c r="N67" s="31" t="str">
        <f>IFERROR(__xludf.DUMMYFUNCTION("""COMPUTED_VALUE"""),"Mpox")</f>
        <v>Mpox</v>
      </c>
    </row>
    <row r="68">
      <c r="A68" s="34" t="str">
        <f>IFERROR(__xludf.DUMMYFUNCTION("""COMPUTED_VALUE"""),"Host Information")</f>
        <v>Host Information</v>
      </c>
      <c r="B68" s="34" t="str">
        <f>IFERROR(__xludf.DUMMYFUNCTION("""COMPUTED_VALUE"""),"host disease")</f>
        <v>host disease</v>
      </c>
      <c r="C68" s="34" t="b">
        <f>IFERROR(__xludf.DUMMYFUNCTION("""COMPUTED_VALUE"""),TRUE)</f>
        <v>1</v>
      </c>
      <c r="D68" s="34" t="str">
        <f>IFERROR(__xludf.DUMMYFUNCTION("""COMPUTED_VALUE"""),"")</f>
        <v/>
      </c>
      <c r="E68" s="34" t="str">
        <f>IFERROR(__xludf.DUMMYFUNCTION("""COMPUTED_VALUE"""),"GENEPIO:0001391")</f>
        <v>GENEPIO:0001391</v>
      </c>
      <c r="F68" s="34" t="str">
        <f>IFERROR(__xludf.DUMMYFUNCTION("""COMPUTED_VALUE"""),"The name of the disease experienced by the host.")</f>
        <v>The name of the disease experienced by the host.</v>
      </c>
      <c r="G68" s="34" t="str">
        <f>IFERROR(__xludf.DUMMYFUNCTION("""COMPUTED_VALUE"""),"Select ""Mpox"" from the pick list provided in the template. Note: the Mpox disease was formerly referred to as ""Monkeypox"" but the international nomenclature has changed (2022). ")</f>
        <v>Select "Mpox" from the pick list provided in the template. Note: the Mpox disease was formerly referred to as "Monkeypox" but the international nomenclature has changed (2022). </v>
      </c>
      <c r="H68" s="34" t="str">
        <f>IFERROR(__xludf.DUMMYFUNCTION("""COMPUTED_VALUE"""),"Mpox [MONDO:0002594]")</f>
        <v>Mpox [MONDO:0002594]</v>
      </c>
      <c r="K68" s="35" t="s">
        <v>19</v>
      </c>
      <c r="L68" s="35" t="s">
        <v>19</v>
      </c>
      <c r="M68" s="35" t="s">
        <v>19</v>
      </c>
      <c r="N68" s="31" t="str">
        <f>IFERROR(__xludf.DUMMYFUNCTION("""COMPUTED_VALUE"""),"Mpox_international")</f>
        <v>Mpox_international</v>
      </c>
    </row>
    <row r="69">
      <c r="A69" s="29" t="str">
        <f>IFERROR(__xludf.DUMMYFUNCTION("""COMPUTED_VALUE"""),"Host Information")</f>
        <v>Host Information</v>
      </c>
      <c r="B69" s="29" t="str">
        <f>IFERROR(__xludf.DUMMYFUNCTION("""COMPUTED_VALUE"""),"host subject ID")</f>
        <v>host subject ID</v>
      </c>
      <c r="C69" s="29"/>
      <c r="D69" s="29"/>
      <c r="E69" s="29" t="str">
        <f>IFERROR(__xludf.DUMMYFUNCTION("""COMPUTED_VALUE"""),"GENEPIO:0001398")</f>
        <v>GENEPIO:0001398</v>
      </c>
      <c r="F69" s="29" t="str">
        <f>IFERROR(__xludf.DUMMYFUNCTION("""COMPUTED_VALUE"""),"A unique identifier by which each host can be referred to.")</f>
        <v>A unique identifier by which each host can be referred to.</v>
      </c>
      <c r="G69" s="29" t="str">
        <f>IFERROR(__xludf.DUMMYFUNCTION("""COMPUTED_VALUE"""),"This identifier can be used to link samples from the same individual. Caution: consult the data steward before sharing as this value may be considered identifiable information.")</f>
        <v>This identifier can be used to link samples from the same individual. Caution: consult the data steward before sharing as this value may be considered identifiable information.</v>
      </c>
      <c r="H69" s="29" t="str">
        <f>IFERROR(__xludf.DUMMYFUNCTION("""COMPUTED_VALUE"""),"12345B-222")</f>
        <v>12345B-222</v>
      </c>
      <c r="I69" s="29"/>
      <c r="J69" s="29"/>
      <c r="K69" s="30" t="s">
        <v>19</v>
      </c>
      <c r="L69" s="30" t="s">
        <v>19</v>
      </c>
      <c r="M69" s="30" t="s">
        <v>19</v>
      </c>
      <c r="N69" s="31" t="str">
        <f>IFERROR(__xludf.DUMMYFUNCTION("""COMPUTED_VALUE"""),"Mpox_international")</f>
        <v>Mpox_international</v>
      </c>
    </row>
    <row r="70">
      <c r="A70" s="34" t="str">
        <f>IFERROR(__xludf.DUMMYFUNCTION("""COMPUTED_VALUE"""),"Host Information")</f>
        <v>Host Information</v>
      </c>
      <c r="B70" s="34" t="str">
        <f>IFERROR(__xludf.DUMMYFUNCTION("""COMPUTED_VALUE"""),"host age")</f>
        <v>host age</v>
      </c>
      <c r="C70" s="34" t="b">
        <f>IFERROR(__xludf.DUMMYFUNCTION("""COMPUTED_VALUE"""),TRUE)</f>
        <v>1</v>
      </c>
      <c r="D70" s="34"/>
      <c r="E70" s="34" t="str">
        <f>IFERROR(__xludf.DUMMYFUNCTION("""COMPUTED_VALUE"""),"GENEPIO:0001392")</f>
        <v>GENEPIO:0001392</v>
      </c>
      <c r="F70" s="34" t="str">
        <f>IFERROR(__xludf.DUMMYFUNCTION("""COMPUTED_VALUE"""),"Age of host at the time of sampling.")</f>
        <v>Age of host at the time of sampling.</v>
      </c>
      <c r="G70" s="34" t="str">
        <f>IFERROR(__xludf.DUMMYFUNCTION("""COMPUTED_VALUE"""),"If known, provide age. Age-binning is also acceptable.")</f>
        <v>If known, provide age. Age-binning is also acceptable.</v>
      </c>
      <c r="H70" s="34">
        <f>IFERROR(__xludf.DUMMYFUNCTION("""COMPUTED_VALUE"""),79.0)</f>
        <v>79</v>
      </c>
      <c r="K70" s="35" t="s">
        <v>19</v>
      </c>
      <c r="L70" s="35" t="s">
        <v>19</v>
      </c>
      <c r="M70" s="35" t="s">
        <v>19</v>
      </c>
      <c r="N70" s="31" t="str">
        <f>IFERROR(__xludf.DUMMYFUNCTION("""COMPUTED_VALUE"""),"Mpox")</f>
        <v>Mpox</v>
      </c>
    </row>
    <row r="71">
      <c r="A71" s="29" t="str">
        <f>IFERROR(__xludf.DUMMYFUNCTION("""COMPUTED_VALUE"""),"Host Information")</f>
        <v>Host Information</v>
      </c>
      <c r="B71" s="29" t="str">
        <f>IFERROR(__xludf.DUMMYFUNCTION("""COMPUTED_VALUE"""),"host age")</f>
        <v>host age</v>
      </c>
      <c r="C71" s="29"/>
      <c r="D71" s="29" t="b">
        <f>IFERROR(__xludf.DUMMYFUNCTION("""COMPUTED_VALUE"""),TRUE)</f>
        <v>1</v>
      </c>
      <c r="E71" s="29" t="str">
        <f>IFERROR(__xludf.DUMMYFUNCTION("""COMPUTED_VALUE"""),"GENEPIO:0001392")</f>
        <v>GENEPIO:0001392</v>
      </c>
      <c r="F71" s="29" t="str">
        <f>IFERROR(__xludf.DUMMYFUNCTION("""COMPUTED_VALUE"""),"Age of host at the time of sampling.")</f>
        <v>Age of host at the time of sampling.</v>
      </c>
      <c r="G71" s="29" t="str">
        <f>IFERROR(__xludf.DUMMYFUNCTION("""COMPUTED_VALUE"""),"If known, provide age. Age-binning is also acceptable.")</f>
        <v>If known, provide age. Age-binning is also acceptable.</v>
      </c>
      <c r="H71" s="29">
        <f>IFERROR(__xludf.DUMMYFUNCTION("""COMPUTED_VALUE"""),79.0)</f>
        <v>79</v>
      </c>
      <c r="I71" s="29"/>
      <c r="J71" s="29"/>
      <c r="K71" s="30" t="s">
        <v>19</v>
      </c>
      <c r="L71" s="30" t="s">
        <v>19</v>
      </c>
      <c r="M71" s="30" t="s">
        <v>19</v>
      </c>
      <c r="N71" s="31" t="str">
        <f>IFERROR(__xludf.DUMMYFUNCTION("""COMPUTED_VALUE"""),"Mpox_international")</f>
        <v>Mpox_international</v>
      </c>
    </row>
    <row r="72">
      <c r="A72" s="34" t="str">
        <f>IFERROR(__xludf.DUMMYFUNCTION("""COMPUTED_VALUE"""),"Host Information")</f>
        <v>Host Information</v>
      </c>
      <c r="B72" s="34" t="str">
        <f>IFERROR(__xludf.DUMMYFUNCTION("""COMPUTED_VALUE"""),"host age unit")</f>
        <v>host age unit</v>
      </c>
      <c r="C72" s="34" t="b">
        <f>IFERROR(__xludf.DUMMYFUNCTION("""COMPUTED_VALUE"""),TRUE)</f>
        <v>1</v>
      </c>
      <c r="D72" s="34"/>
      <c r="E72" s="34" t="str">
        <f>IFERROR(__xludf.DUMMYFUNCTION("""COMPUTED_VALUE"""),"GENEPIO:0001393")</f>
        <v>GENEPIO:0001393</v>
      </c>
      <c r="F72" s="34" t="str">
        <f>IFERROR(__xludf.DUMMYFUNCTION("""COMPUTED_VALUE"""),"The units used to measure the host's age.")</f>
        <v>The units used to measure the host's age.</v>
      </c>
      <c r="G72" s="34" t="str">
        <f>IFERROR(__xludf.DUMMYFUNCTION("""COMPUTED_VALUE"""),"If known, provide the age units used to measure the host's age from the pick list.")</f>
        <v>If known, provide the age units used to measure the host's age from the pick list.</v>
      </c>
      <c r="H72" s="34" t="str">
        <f>IFERROR(__xludf.DUMMYFUNCTION("""COMPUTED_VALUE"""),"year ")</f>
        <v>year </v>
      </c>
      <c r="K72" s="35" t="s">
        <v>19</v>
      </c>
      <c r="L72" s="35" t="s">
        <v>19</v>
      </c>
      <c r="M72" s="35" t="s">
        <v>19</v>
      </c>
      <c r="N72" s="31" t="str">
        <f>IFERROR(__xludf.DUMMYFUNCTION("""COMPUTED_VALUE"""),"Mpox")</f>
        <v>Mpox</v>
      </c>
    </row>
    <row r="73">
      <c r="A73" s="29" t="str">
        <f>IFERROR(__xludf.DUMMYFUNCTION("""COMPUTED_VALUE"""),"Host Information")</f>
        <v>Host Information</v>
      </c>
      <c r="B73" s="29" t="str">
        <f>IFERROR(__xludf.DUMMYFUNCTION("""COMPUTED_VALUE"""),"host age unit")</f>
        <v>host age unit</v>
      </c>
      <c r="C73" s="29"/>
      <c r="D73" s="29" t="b">
        <f>IFERROR(__xludf.DUMMYFUNCTION("""COMPUTED_VALUE"""),TRUE)</f>
        <v>1</v>
      </c>
      <c r="E73" s="29" t="str">
        <f>IFERROR(__xludf.DUMMYFUNCTION("""COMPUTED_VALUE"""),"GENEPIO:0001393")</f>
        <v>GENEPIO:0001393</v>
      </c>
      <c r="F73" s="29" t="str">
        <f>IFERROR(__xludf.DUMMYFUNCTION("""COMPUTED_VALUE"""),"The units used to measure the host's age.")</f>
        <v>The units used to measure the host's age.</v>
      </c>
      <c r="G73" s="29" t="str">
        <f>IFERROR(__xludf.DUMMYFUNCTION("""COMPUTED_VALUE"""),"If known, provide the age units used to measure the host's age from the pick list.")</f>
        <v>If known, provide the age units used to measure the host's age from the pick list.</v>
      </c>
      <c r="H73" s="29" t="str">
        <f>IFERROR(__xludf.DUMMYFUNCTION("""COMPUTED_VALUE"""),"year [UO:0000036]  ")</f>
        <v>year [UO:0000036]  </v>
      </c>
      <c r="I73" s="29"/>
      <c r="J73" s="29"/>
      <c r="K73" s="30" t="s">
        <v>19</v>
      </c>
      <c r="L73" s="30" t="s">
        <v>19</v>
      </c>
      <c r="M73" s="30" t="s">
        <v>19</v>
      </c>
      <c r="N73" s="31" t="str">
        <f>IFERROR(__xludf.DUMMYFUNCTION("""COMPUTED_VALUE"""),"Mpox_international")</f>
        <v>Mpox_international</v>
      </c>
    </row>
    <row r="74">
      <c r="A74" s="34" t="str">
        <f>IFERROR(__xludf.DUMMYFUNCTION("""COMPUTED_VALUE"""),"Host Information")</f>
        <v>Host Information</v>
      </c>
      <c r="B74" s="34" t="str">
        <f>IFERROR(__xludf.DUMMYFUNCTION("""COMPUTED_VALUE"""),"host age bin")</f>
        <v>host age bin</v>
      </c>
      <c r="C74" s="34" t="b">
        <f>IFERROR(__xludf.DUMMYFUNCTION("""COMPUTED_VALUE"""),TRUE)</f>
        <v>1</v>
      </c>
      <c r="D74" s="34"/>
      <c r="E74" s="34" t="str">
        <f>IFERROR(__xludf.DUMMYFUNCTION("""COMPUTED_VALUE"""),"GENEPIO:0001394")</f>
        <v>GENEPIO:0001394</v>
      </c>
      <c r="F74" s="34" t="str">
        <f>IFERROR(__xludf.DUMMYFUNCTION("""COMPUTED_VALUE"""),"The age category of the host at the time of sampling.")</f>
        <v>The age category of the host at the time of sampling.</v>
      </c>
      <c r="G74" s="34"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4" s="34" t="str">
        <f>IFERROR(__xludf.DUMMYFUNCTION("""COMPUTED_VALUE"""),"50 - 59 ")</f>
        <v>50 - 59 </v>
      </c>
      <c r="K74" s="35" t="s">
        <v>19</v>
      </c>
      <c r="L74" s="35" t="s">
        <v>19</v>
      </c>
      <c r="M74" s="35" t="s">
        <v>19</v>
      </c>
      <c r="N74" s="31" t="str">
        <f>IFERROR(__xludf.DUMMYFUNCTION("""COMPUTED_VALUE"""),"Mpox")</f>
        <v>Mpox</v>
      </c>
    </row>
    <row r="75">
      <c r="A75" s="29" t="str">
        <f>IFERROR(__xludf.DUMMYFUNCTION("""COMPUTED_VALUE"""),"Host Information")</f>
        <v>Host Information</v>
      </c>
      <c r="B75" s="29" t="str">
        <f>IFERROR(__xludf.DUMMYFUNCTION("""COMPUTED_VALUE"""),"host age bin")</f>
        <v>host age bin</v>
      </c>
      <c r="C75" s="29"/>
      <c r="D75" s="29" t="b">
        <f>IFERROR(__xludf.DUMMYFUNCTION("""COMPUTED_VALUE"""),TRUE)</f>
        <v>1</v>
      </c>
      <c r="E75" s="29" t="str">
        <f>IFERROR(__xludf.DUMMYFUNCTION("""COMPUTED_VALUE"""),"GENEPIO:0001394")</f>
        <v>GENEPIO:0001394</v>
      </c>
      <c r="F75" s="29" t="str">
        <f>IFERROR(__xludf.DUMMYFUNCTION("""COMPUTED_VALUE"""),"The age category of the host at the time of sampling.")</f>
        <v>The age category of the host at the time of sampling.</v>
      </c>
      <c r="G75" s="29" t="str">
        <f>IFERROR(__xludf.DUMMYFUNCTION("""COMPUTED_VALUE"""),"Age bins in 10 year intervals have been provided. If a host's age cannot be specified due to provacy concerns, an age bin can be used as an alternative.")</f>
        <v>Age bins in 10 year intervals have been provided. If a host's age cannot be specified due to provacy concerns, an age bin can be used as an alternative.</v>
      </c>
      <c r="H75" s="29" t="str">
        <f>IFERROR(__xludf.DUMMYFUNCTION("""COMPUTED_VALUE"""),"50 - 59 [GENEPIO:0100054]")</f>
        <v>50 - 59 [GENEPIO:0100054]</v>
      </c>
      <c r="I75" s="29"/>
      <c r="J75" s="29"/>
      <c r="K75" s="30" t="s">
        <v>19</v>
      </c>
      <c r="L75" s="30" t="s">
        <v>19</v>
      </c>
      <c r="M75" s="30" t="s">
        <v>19</v>
      </c>
      <c r="N75" s="31" t="str">
        <f>IFERROR(__xludf.DUMMYFUNCTION("""COMPUTED_VALUE"""),"Mpox_international")</f>
        <v>Mpox_international</v>
      </c>
    </row>
    <row r="76">
      <c r="A76" s="34" t="str">
        <f>IFERROR(__xludf.DUMMYFUNCTION("""COMPUTED_VALUE"""),"Host Information")</f>
        <v>Host Information</v>
      </c>
      <c r="B76" s="34" t="str">
        <f>IFERROR(__xludf.DUMMYFUNCTION("""COMPUTED_VALUE"""),"host gender")</f>
        <v>host gender</v>
      </c>
      <c r="C76" s="34" t="b">
        <f>IFERROR(__xludf.DUMMYFUNCTION("""COMPUTED_VALUE"""),TRUE)</f>
        <v>1</v>
      </c>
      <c r="D76" s="34"/>
      <c r="E76" s="34" t="str">
        <f>IFERROR(__xludf.DUMMYFUNCTION("""COMPUTED_VALUE"""),"GENEPIO:0001395")</f>
        <v>GENEPIO:0001395</v>
      </c>
      <c r="F76" s="34" t="str">
        <f>IFERROR(__xludf.DUMMYFUNCTION("""COMPUTED_VALUE"""),"The gender of the host at the time of sample collection.")</f>
        <v>The gender of the host at the time of sample collection.</v>
      </c>
      <c r="G76" s="34" t="str">
        <f>IFERROR(__xludf.DUMMYFUNCTION("""COMPUTED_VALUE"""),"If known, select a value from the pick list.")</f>
        <v>If known, select a value from the pick list.</v>
      </c>
      <c r="H76" s="34" t="str">
        <f>IFERROR(__xludf.DUMMYFUNCTION("""COMPUTED_VALUE"""),"Male ")</f>
        <v>Male </v>
      </c>
      <c r="K76" s="35" t="s">
        <v>19</v>
      </c>
      <c r="L76" s="35" t="s">
        <v>19</v>
      </c>
      <c r="M76" s="35" t="s">
        <v>19</v>
      </c>
      <c r="N76" s="31" t="str">
        <f>IFERROR(__xludf.DUMMYFUNCTION("""COMPUTED_VALUE"""),"Mpox")</f>
        <v>Mpox</v>
      </c>
    </row>
    <row r="77">
      <c r="A77" s="29" t="str">
        <f>IFERROR(__xludf.DUMMYFUNCTION("""COMPUTED_VALUE"""),"Host Information")</f>
        <v>Host Information</v>
      </c>
      <c r="B77" s="29" t="str">
        <f>IFERROR(__xludf.DUMMYFUNCTION("""COMPUTED_VALUE"""),"host gender")</f>
        <v>host gender</v>
      </c>
      <c r="C77" s="29"/>
      <c r="D77" s="29" t="b">
        <f>IFERROR(__xludf.DUMMYFUNCTION("""COMPUTED_VALUE"""),TRUE)</f>
        <v>1</v>
      </c>
      <c r="E77" s="29" t="str">
        <f>IFERROR(__xludf.DUMMYFUNCTION("""COMPUTED_VALUE"""),"GENEPIO:0001395")</f>
        <v>GENEPIO:0001395</v>
      </c>
      <c r="F77" s="29" t="str">
        <f>IFERROR(__xludf.DUMMYFUNCTION("""COMPUTED_VALUE"""),"The gender of the host at the time of sample collection.")</f>
        <v>The gender of the host at the time of sample collection.</v>
      </c>
      <c r="G77" s="29" t="str">
        <f>IFERROR(__xludf.DUMMYFUNCTION("""COMPUTED_VALUE"""),"If known, select a value from the pick list.")</f>
        <v>If known, select a value from the pick list.</v>
      </c>
      <c r="H77" s="29" t="str">
        <f>IFERROR(__xludf.DUMMYFUNCTION("""COMPUTED_VALUE"""),"Male [NCIT:C46109]")</f>
        <v>Male [NCIT:C46109]</v>
      </c>
      <c r="I77" s="29"/>
      <c r="J77" s="29"/>
      <c r="K77" s="30" t="s">
        <v>19</v>
      </c>
      <c r="L77" s="30" t="s">
        <v>19</v>
      </c>
      <c r="M77" s="30" t="s">
        <v>19</v>
      </c>
      <c r="N77" s="31" t="str">
        <f>IFERROR(__xludf.DUMMYFUNCTION("""COMPUTED_VALUE"""),"Mpox_international")</f>
        <v>Mpox_international</v>
      </c>
    </row>
    <row r="78">
      <c r="A78" s="29" t="str">
        <f>IFERROR(__xludf.DUMMYFUNCTION("""COMPUTED_VALUE"""),"Host Information")</f>
        <v>Host Information</v>
      </c>
      <c r="B78" s="29" t="str">
        <f>IFERROR(__xludf.DUMMYFUNCTION("""COMPUTED_VALUE"""),"host residence geo_loc name (country)")</f>
        <v>host residence geo_loc name (country)</v>
      </c>
      <c r="C78" s="29"/>
      <c r="D78" s="29"/>
      <c r="E78" s="29" t="str">
        <f>IFERROR(__xludf.DUMMYFUNCTION("""COMPUTED_VALUE"""),"GENEPIO:0001396")</f>
        <v>GENEPIO:0001396</v>
      </c>
      <c r="F78" s="29" t="str">
        <f>IFERROR(__xludf.DUMMYFUNCTION("""COMPUTED_VALUE"""),"The country of residence of the host.")</f>
        <v>The country of residence of the host.</v>
      </c>
      <c r="G78" s="29" t="str">
        <f>IFERROR(__xludf.DUMMYFUNCTION("""COMPUTED_VALUE"""),"Select the country name from pick list provided in the template.")</f>
        <v>Select the country name from pick list provided in the template.</v>
      </c>
      <c r="H78" s="29" t="str">
        <f>IFERROR(__xludf.DUMMYFUNCTION("""COMPUTED_VALUE"""),"Canada")</f>
        <v>Canada</v>
      </c>
      <c r="I78" s="29"/>
      <c r="J78" s="29"/>
      <c r="K78" s="30" t="s">
        <v>19</v>
      </c>
      <c r="L78" s="30" t="s">
        <v>19</v>
      </c>
      <c r="M78" s="30" t="s">
        <v>19</v>
      </c>
      <c r="N78" s="31" t="str">
        <f>IFERROR(__xludf.DUMMYFUNCTION("""COMPUTED_VALUE"""),"Mpox")</f>
        <v>Mpox</v>
      </c>
    </row>
    <row r="79">
      <c r="A79" s="29" t="str">
        <f>IFERROR(__xludf.DUMMYFUNCTION("""COMPUTED_VALUE"""),"Host Information")</f>
        <v>Host Information</v>
      </c>
      <c r="B79" s="29" t="str">
        <f>IFERROR(__xludf.DUMMYFUNCTION("""COMPUTED_VALUE"""),"host residence geo_loc name (country)")</f>
        <v>host residence geo_loc name (country)</v>
      </c>
      <c r="C79" s="29"/>
      <c r="D79" s="29"/>
      <c r="E79" s="29" t="str">
        <f>IFERROR(__xludf.DUMMYFUNCTION("""COMPUTED_VALUE"""),"GENEPIO:0001396")</f>
        <v>GENEPIO:0001396</v>
      </c>
      <c r="F79" s="29" t="str">
        <f>IFERROR(__xludf.DUMMYFUNCTION("""COMPUTED_VALUE"""),"The country of residence of the host.")</f>
        <v>The country of residence of the host.</v>
      </c>
      <c r="G79" s="29" t="str">
        <f>IFERROR(__xludf.DUMMYFUNCTION("""COMPUTED_VALUE"""),"Select the country name from pick list provided in the template.")</f>
        <v>Select the country name from pick list provided in the template.</v>
      </c>
      <c r="H79" s="29" t="str">
        <f>IFERROR(__xludf.DUMMYFUNCTION("""COMPUTED_VALUE"""),"Canada [GAZ:00002560]")</f>
        <v>Canada [GAZ:00002560]</v>
      </c>
      <c r="I79" s="29"/>
      <c r="J79" s="29"/>
      <c r="K79" s="30" t="s">
        <v>19</v>
      </c>
      <c r="L79" s="30" t="s">
        <v>19</v>
      </c>
      <c r="M79" s="30" t="s">
        <v>19</v>
      </c>
      <c r="N79" s="31" t="str">
        <f>IFERROR(__xludf.DUMMYFUNCTION("""COMPUTED_VALUE"""),"Mpox_international")</f>
        <v>Mpox_international</v>
      </c>
    </row>
    <row r="80">
      <c r="A80" s="34" t="str">
        <f>IFERROR(__xludf.DUMMYFUNCTION("""COMPUTED_VALUE"""),"Host Information")</f>
        <v>Host Information</v>
      </c>
      <c r="B80" s="34" t="str">
        <f>IFERROR(__xludf.DUMMYFUNCTION("""COMPUTED_VALUE"""),"host residence geo_loc name (state/province/territory)")</f>
        <v>host residence geo_loc name (state/province/territory)</v>
      </c>
      <c r="C80" s="34"/>
      <c r="D80" s="34"/>
      <c r="E80" s="34" t="str">
        <f>IFERROR(__xludf.DUMMYFUNCTION("""COMPUTED_VALUE"""),"GENEPIO:0001397")</f>
        <v>GENEPIO:0001397</v>
      </c>
      <c r="F80" s="34" t="str">
        <f>IFERROR(__xludf.DUMMYFUNCTION("""COMPUTED_VALUE"""),"The state/province/territory of residence of the host.")</f>
        <v>The state/province/territory of residence of the host.</v>
      </c>
      <c r="G80" s="34" t="str">
        <f>IFERROR(__xludf.DUMMYFUNCTION("""COMPUTED_VALUE"""),"Select the province/territory name from pick list provided in the template.")</f>
        <v>Select the province/territory name from pick list provided in the template.</v>
      </c>
      <c r="H80" s="34" t="str">
        <f>IFERROR(__xludf.DUMMYFUNCTION("""COMPUTED_VALUE"""),"Quebec")</f>
        <v>Quebec</v>
      </c>
      <c r="K80" s="35" t="s">
        <v>19</v>
      </c>
      <c r="L80" s="35" t="s">
        <v>19</v>
      </c>
      <c r="M80" s="35" t="s">
        <v>19</v>
      </c>
      <c r="N80" s="31" t="str">
        <f>IFERROR(__xludf.DUMMYFUNCTION("""COMPUTED_VALUE"""),"Mpox")</f>
        <v>Mpox</v>
      </c>
    </row>
    <row r="81">
      <c r="A81" s="29" t="str">
        <f>IFERROR(__xludf.DUMMYFUNCTION("""COMPUTED_VALUE"""),"Host Information")</f>
        <v>Host Information</v>
      </c>
      <c r="B81" s="29" t="str">
        <f>IFERROR(__xludf.DUMMYFUNCTION("""COMPUTED_VALUE"""),"symptom onset date")</f>
        <v>symptom onset date</v>
      </c>
      <c r="C81" s="29"/>
      <c r="D81" s="29"/>
      <c r="E81" s="29" t="str">
        <f>IFERROR(__xludf.DUMMYFUNCTION("""COMPUTED_VALUE"""),"GENEPIO:0001399")</f>
        <v>GENEPIO:0001399</v>
      </c>
      <c r="F81" s="29" t="str">
        <f>IFERROR(__xludf.DUMMYFUNCTION("""COMPUTED_VALUE"""),"The date on which the symptoms began or were first noted.")</f>
        <v>The date on which the symptoms began or were first noted.</v>
      </c>
      <c r="G81" s="29" t="str">
        <f>IFERROR(__xludf.DUMMYFUNCTION("""COMPUTED_VALUE"""),"If known, provide the symptom onset date in ISO 8601 standard format ""YYYY-MM-DD"".")</f>
        <v>If known, provide the symptom onset date in ISO 8601 standard format "YYYY-MM-DD".</v>
      </c>
      <c r="H81" s="37">
        <f>IFERROR(__xludf.DUMMYFUNCTION("""COMPUTED_VALUE"""),44706.0)</f>
        <v>44706</v>
      </c>
      <c r="I81" s="29"/>
      <c r="J81" s="29"/>
      <c r="K81" s="30" t="s">
        <v>19</v>
      </c>
      <c r="L81" s="30" t="s">
        <v>19</v>
      </c>
      <c r="M81" s="30" t="s">
        <v>19</v>
      </c>
      <c r="N81" s="31" t="str">
        <f>IFERROR(__xludf.DUMMYFUNCTION("""COMPUTED_VALUE"""),"Mpox;Mpox_international")</f>
        <v>Mpox;Mpox_international</v>
      </c>
    </row>
    <row r="82">
      <c r="A82" s="34" t="str">
        <f>IFERROR(__xludf.DUMMYFUNCTION("""COMPUTED_VALUE"""),"Host Information")</f>
        <v>Host Information</v>
      </c>
      <c r="B82" s="34" t="str">
        <f>IFERROR(__xludf.DUMMYFUNCTION("""COMPUTED_VALUE"""),"signs and symptoms")</f>
        <v>signs and symptoms</v>
      </c>
      <c r="C82" s="34"/>
      <c r="D82" s="34"/>
      <c r="E82" s="34" t="str">
        <f>IFERROR(__xludf.DUMMYFUNCTION("""COMPUTED_VALUE"""),"GENEPIO:0001400")</f>
        <v>GENEPIO:0001400</v>
      </c>
      <c r="F82" s="34"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2" s="34" t="str">
        <f>IFERROR(__xludf.DUMMYFUNCTION("""COMPUTED_VALUE"""),"Select all of the symptoms experienced by the host from the pick list.")</f>
        <v>Select all of the symptoms experienced by the host from the pick list.</v>
      </c>
      <c r="H82" s="34" t="str">
        <f>IFERROR(__xludf.DUMMYFUNCTION("""COMPUTED_VALUE"""),"Lesion (Pustule), Swollen Lymph Nodes, Myalgia (muscle pain)")</f>
        <v>Lesion (Pustule), Swollen Lymph Nodes, Myalgia (muscle pain)</v>
      </c>
      <c r="K82" s="35" t="s">
        <v>19</v>
      </c>
      <c r="L82" s="35" t="s">
        <v>19</v>
      </c>
      <c r="M82" s="35" t="s">
        <v>19</v>
      </c>
      <c r="N82" s="31" t="str">
        <f>IFERROR(__xludf.DUMMYFUNCTION("""COMPUTED_VALUE"""),"Mpox")</f>
        <v>Mpox</v>
      </c>
    </row>
    <row r="83">
      <c r="A83" s="29" t="str">
        <f>IFERROR(__xludf.DUMMYFUNCTION("""COMPUTED_VALUE"""),"Host Information")</f>
        <v>Host Information</v>
      </c>
      <c r="B83" s="29" t="str">
        <f>IFERROR(__xludf.DUMMYFUNCTION("""COMPUTED_VALUE"""),"signs and symptoms")</f>
        <v>signs and symptoms</v>
      </c>
      <c r="C83" s="29"/>
      <c r="D83" s="29"/>
      <c r="E83" s="29" t="str">
        <f>IFERROR(__xludf.DUMMYFUNCTION("""COMPUTED_VALUE"""),"GENEPIO:0001400")</f>
        <v>GENEPIO:0001400</v>
      </c>
      <c r="F83" s="29" t="str">
        <f>IFERROR(__xludf.DUMMYFUNCTION("""COMPUTED_VALUE"""),"A perceived change in function or sensation, (loss, disturbance or appearance) indicative of a disease, reported by a patient.")</f>
        <v>A perceived change in function or sensation, (loss, disturbance or appearance) indicative of a disease, reported by a patient.</v>
      </c>
      <c r="G83" s="29" t="str">
        <f>IFERROR(__xludf.DUMMYFUNCTION("""COMPUTED_VALUE"""),"Select all of the symptoms experienced by the host from the pick list.")</f>
        <v>Select all of the symptoms experienced by the host from the pick list.</v>
      </c>
      <c r="H83" s="29" t="str">
        <f>IFERROR(__xludf.DUMMYFUNCTION("""COMPUTED_VALUE"""),"Lesion (Pustule) [NCIT:C78582], Swollen Lymph Nodes [HP:0002716], Myalgia (muscle pain) [HP:0003326]")</f>
        <v>Lesion (Pustule) [NCIT:C78582], Swollen Lymph Nodes [HP:0002716], Myalgia (muscle pain) [HP:0003326]</v>
      </c>
      <c r="I83" s="29"/>
      <c r="J83" s="29"/>
      <c r="K83" s="30" t="s">
        <v>19</v>
      </c>
      <c r="L83" s="30" t="s">
        <v>19</v>
      </c>
      <c r="M83" s="30" t="s">
        <v>19</v>
      </c>
      <c r="N83" s="31" t="str">
        <f>IFERROR(__xludf.DUMMYFUNCTION("""COMPUTED_VALUE"""),"Mpox_international")</f>
        <v>Mpox_international</v>
      </c>
    </row>
    <row r="84">
      <c r="A84" s="34" t="str">
        <f>IFERROR(__xludf.DUMMYFUNCTION("""COMPUTED_VALUE"""),"Host Information")</f>
        <v>Host Information</v>
      </c>
      <c r="B84" s="34" t="str">
        <f>IFERROR(__xludf.DUMMYFUNCTION("""COMPUTED_VALUE"""),"pre-existing conditions and risk factors")</f>
        <v>pre-existing conditions and risk factors</v>
      </c>
      <c r="C84" s="34" t="str">
        <f>IFERROR(__xludf.DUMMYFUNCTION("""COMPUTED_VALUE"""),"")</f>
        <v/>
      </c>
      <c r="D84" s="34" t="str">
        <f>IFERROR(__xludf.DUMMYFUNCTION("""COMPUTED_VALUE"""),"")</f>
        <v/>
      </c>
      <c r="E84" s="34" t="str">
        <f>IFERROR(__xludf.DUMMYFUNCTION("""COMPUTED_VALUE"""),"GENEPIO:0001401")</f>
        <v>GENEPIO:0001401</v>
      </c>
      <c r="F84" s="34"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4" s="34"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4" s="34"/>
      <c r="K84" s="35" t="s">
        <v>19</v>
      </c>
      <c r="L84" s="35" t="s">
        <v>19</v>
      </c>
      <c r="M84" s="35" t="s">
        <v>19</v>
      </c>
      <c r="N84" s="31" t="str">
        <f>IFERROR(__xludf.DUMMYFUNCTION("""COMPUTED_VALUE"""),"Mpox")</f>
        <v>Mpox</v>
      </c>
    </row>
    <row r="85">
      <c r="A85" s="29" t="str">
        <f>IFERROR(__xludf.DUMMYFUNCTION("""COMPUTED_VALUE"""),"Host Information")</f>
        <v>Host Information</v>
      </c>
      <c r="B85" s="29" t="str">
        <f>IFERROR(__xludf.DUMMYFUNCTION("""COMPUTED_VALUE"""),"pre-existing conditions and risk factors")</f>
        <v>pre-existing conditions and risk factors</v>
      </c>
      <c r="C85" s="29" t="str">
        <f>IFERROR(__xludf.DUMMYFUNCTION("""COMPUTED_VALUE"""),"")</f>
        <v/>
      </c>
      <c r="D85" s="29" t="str">
        <f>IFERROR(__xludf.DUMMYFUNCTION("""COMPUTED_VALUE"""),"")</f>
        <v/>
      </c>
      <c r="E85" s="29" t="str">
        <f>IFERROR(__xludf.DUMMYFUNCTION("""COMPUTED_VALUE"""),"GENEPIO:0001401")</f>
        <v>GENEPIO:0001401</v>
      </c>
      <c r="F85" s="29" t="str">
        <f>IFERROR(__xludf.DUMMYFUNCTION("""COMPUTED_VALUE"""),"Patient pre-existing conditions and risk factors. &lt;li&gt;Pre-existing condition: A medical condition that existed prior to the current infection. &lt;li&gt;Risk Factor: A variable associated with an increased risk of disease or infection.")</f>
        <v>Patient pre-existing conditions and risk factors. &lt;li&gt;Pre-existing condition: A medical condition that existed prior to the current infection. &lt;li&gt;Risk Factor: A variable associated with an increased risk of disease or infection.</v>
      </c>
      <c r="G85" s="29" t="str">
        <f>IFERROR(__xludf.DUMMYFUNCTION("""COMPUTED_VALUE"""),"Select all of the pre-existing conditions and risk factors experienced by the host from the pick list. If the desired term is missing, contact the curation team.")</f>
        <v>Select all of the pre-existing conditions and risk factors experienced by the host from the pick list. If the desired term is missing, contact the curation team.</v>
      </c>
      <c r="H85" s="29"/>
      <c r="I85" s="29"/>
      <c r="J85" s="29"/>
      <c r="K85" s="30" t="s">
        <v>19</v>
      </c>
      <c r="L85" s="30" t="s">
        <v>19</v>
      </c>
      <c r="M85" s="30" t="s">
        <v>19</v>
      </c>
      <c r="N85" s="31" t="str">
        <f>IFERROR(__xludf.DUMMYFUNCTION("""COMPUTED_VALUE"""),"Mpox_international")</f>
        <v>Mpox_international</v>
      </c>
    </row>
    <row r="86">
      <c r="A86" s="29" t="str">
        <f>IFERROR(__xludf.DUMMYFUNCTION("""COMPUTED_VALUE"""),"Host Information")</f>
        <v>Host Information</v>
      </c>
      <c r="B86" s="29" t="str">
        <f>IFERROR(__xludf.DUMMYFUNCTION("""COMPUTED_VALUE"""),"complications")</f>
        <v>complications</v>
      </c>
      <c r="C86" s="29"/>
      <c r="D86" s="29"/>
      <c r="E86" s="29" t="str">
        <f>IFERROR(__xludf.DUMMYFUNCTION("""COMPUTED_VALUE"""),"GENEPIO:0001402")</f>
        <v>GENEPIO:0001402</v>
      </c>
      <c r="F86" s="29" t="str">
        <f>IFERROR(__xludf.DUMMYFUNCTION("""COMPUTED_VALUE"""),"Patient medical complications that are believed to have occurred as a result of host disease.")</f>
        <v>Patient medical complications that are believed to have occurred as a result of host disease.</v>
      </c>
      <c r="G86"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86" s="29" t="str">
        <f>IFERROR(__xludf.DUMMYFUNCTION("""COMPUTED_VALUE"""),"Delayed wound healing (lesion healing) ")</f>
        <v>Delayed wound healing (lesion healing) </v>
      </c>
      <c r="I86" s="29"/>
      <c r="J86" s="29"/>
      <c r="K86" s="29"/>
      <c r="L86" s="29"/>
      <c r="M86" s="29"/>
      <c r="N86" s="31" t="str">
        <f>IFERROR(__xludf.DUMMYFUNCTION("""COMPUTED_VALUE"""),"Mpox")</f>
        <v>Mpox</v>
      </c>
    </row>
    <row r="87">
      <c r="A87" s="29" t="str">
        <f>IFERROR(__xludf.DUMMYFUNCTION("""COMPUTED_VALUE"""),"Host Information")</f>
        <v>Host Information</v>
      </c>
      <c r="B87" s="29" t="str">
        <f>IFERROR(__xludf.DUMMYFUNCTION("""COMPUTED_VALUE"""),"complications")</f>
        <v>complications</v>
      </c>
      <c r="C87" s="29"/>
      <c r="D87" s="29"/>
      <c r="E87" s="29" t="str">
        <f>IFERROR(__xludf.DUMMYFUNCTION("""COMPUTED_VALUE"""),"GENEPIO:0001402")</f>
        <v>GENEPIO:0001402</v>
      </c>
      <c r="F87" s="29" t="str">
        <f>IFERROR(__xludf.DUMMYFUNCTION("""COMPUTED_VALUE"""),"Patient medical complications that are believed to have occurred as a result of host disease.")</f>
        <v>Patient medical complications that are believed to have occurred as a result of host disease.</v>
      </c>
      <c r="G87" s="29" t="str">
        <f>IFERROR(__xludf.DUMMYFUNCTION("""COMPUTED_VALUE"""),"Select all of the complications experienced by the host from the pick list. If the desired term is missing, contact the curation team.")</f>
        <v>Select all of the complications experienced by the host from the pick list. If the desired term is missing, contact the curation team.</v>
      </c>
      <c r="H87" s="29" t="str">
        <f>IFERROR(__xludf.DUMMYFUNCTION("""COMPUTED_VALUE"""),"Delayed wound healing (lesion healing) [MP:0002908]")</f>
        <v>Delayed wound healing (lesion healing) [MP:0002908]</v>
      </c>
      <c r="I87" s="29"/>
      <c r="J87" s="29"/>
      <c r="K87" s="30" t="s">
        <v>19</v>
      </c>
      <c r="L87" s="30" t="s">
        <v>19</v>
      </c>
      <c r="M87" s="30" t="s">
        <v>19</v>
      </c>
      <c r="N87" s="31" t="str">
        <f>IFERROR(__xludf.DUMMYFUNCTION("""COMPUTED_VALUE"""),"Mpox_international")</f>
        <v>Mpox_international</v>
      </c>
    </row>
    <row r="88">
      <c r="A88" s="34" t="str">
        <f>IFERROR(__xludf.DUMMYFUNCTION("""COMPUTED_VALUE"""),"Host Information")</f>
        <v>Host Information</v>
      </c>
      <c r="B88" s="34" t="str">
        <f>IFERROR(__xludf.DUMMYFUNCTION("""COMPUTED_VALUE"""),"antiviral therapy")</f>
        <v>antiviral therapy</v>
      </c>
      <c r="C88" s="34"/>
      <c r="D88" s="34"/>
      <c r="E88" s="34" t="str">
        <f>IFERROR(__xludf.DUMMYFUNCTION("""COMPUTED_VALUE"""),"GENEPIO:0100580")</f>
        <v>GENEPIO:0100580</v>
      </c>
      <c r="F88" s="34" t="str">
        <f>IFERROR(__xludf.DUMMYFUNCTION("""COMPUTED_VALUE"""),"Treatment of viral infections with agents that prevent viral replication in infected cells without impairing the host cell function.")</f>
        <v>Treatment of viral infections with agents that prevent viral replication in infected cells without impairing the host cell function.</v>
      </c>
      <c r="G88" s="34" t="str">
        <f>IFERROR(__xludf.DUMMYFUNCTION("""COMPUTED_VALUE"""),"Provide details of all current antiviral treatment during the current Monkeypox infection period. Consult with the data steward prior to sharing this information.")</f>
        <v>Provide details of all current antiviral treatment during the current Monkeypox infection period. Consult with the data steward prior to sharing this information.</v>
      </c>
      <c r="H88" s="34" t="str">
        <f>IFERROR(__xludf.DUMMYFUNCTION("""COMPUTED_VALUE"""),"Tecovirimat used to treat current Monkeypox infection; AZT administered for concurrent HIV infection")</f>
        <v>Tecovirimat used to treat current Monkeypox infection; AZT administered for concurrent HIV infection</v>
      </c>
      <c r="K88" s="35" t="s">
        <v>19</v>
      </c>
      <c r="L88" s="35" t="s">
        <v>19</v>
      </c>
      <c r="M88" s="35" t="s">
        <v>19</v>
      </c>
      <c r="N88" s="31" t="str">
        <f>IFERROR(__xludf.DUMMYFUNCTION("""COMPUTED_VALUE"""),"Mpox;Mpox_international")</f>
        <v>Mpox;Mpox_international</v>
      </c>
    </row>
    <row r="89">
      <c r="A89" s="29"/>
      <c r="B89" s="29" t="str">
        <f>IFERROR(__xludf.DUMMYFUNCTION("""COMPUTED_VALUE"""),"Host vaccination information")</f>
        <v>Host vaccination information</v>
      </c>
      <c r="C89" s="29" t="str">
        <f>IFERROR(__xludf.DUMMYFUNCTION("""COMPUTED_VALUE"""),"")</f>
        <v/>
      </c>
      <c r="D89" s="29" t="str">
        <f>IFERROR(__xludf.DUMMYFUNCTION("""COMPUTED_VALUE"""),"")</f>
        <v/>
      </c>
      <c r="E89" s="29" t="str">
        <f>IFERROR(__xludf.DUMMYFUNCTION("""COMPUTED_VALUE"""),"GENEPIO:0001403")</f>
        <v>GENEPIO:0001403</v>
      </c>
      <c r="F89" s="29"/>
      <c r="G89" s="29"/>
      <c r="H89" s="29"/>
      <c r="I89" s="29"/>
      <c r="J89" s="29"/>
      <c r="K89" s="30" t="s">
        <v>19</v>
      </c>
      <c r="L89" s="30" t="s">
        <v>19</v>
      </c>
      <c r="M89" s="30" t="s">
        <v>19</v>
      </c>
      <c r="N89" s="31" t="str">
        <f>IFERROR(__xludf.DUMMYFUNCTION("""COMPUTED_VALUE"""),"Mpox;Mpox_international")</f>
        <v>Mpox;Mpox_international</v>
      </c>
    </row>
    <row r="90">
      <c r="A90" s="29" t="str">
        <f>IFERROR(__xludf.DUMMYFUNCTION("""COMPUTED_VALUE"""),"Host vaccination information")</f>
        <v>Host vaccination information</v>
      </c>
      <c r="B90" s="29" t="str">
        <f>IFERROR(__xludf.DUMMYFUNCTION("""COMPUTED_VALUE"""),"host vaccination status")</f>
        <v>host vaccination status</v>
      </c>
      <c r="C90" s="29" t="str">
        <f>IFERROR(__xludf.DUMMYFUNCTION("""COMPUTED_VALUE"""),"")</f>
        <v/>
      </c>
      <c r="D90" s="29" t="str">
        <f>IFERROR(__xludf.DUMMYFUNCTION("""COMPUTED_VALUE"""),"")</f>
        <v/>
      </c>
      <c r="E90" s="29" t="str">
        <f>IFERROR(__xludf.DUMMYFUNCTION("""COMPUTED_VALUE"""),"GENEPIO:0001404")</f>
        <v>GENEPIO:0001404</v>
      </c>
      <c r="F90" s="29" t="str">
        <f>IFERROR(__xludf.DUMMYFUNCTION("""COMPUTED_VALUE"""),"The vaccination status of the host (fully vaccinated, partially vaccinated, or not vaccinated).")</f>
        <v>The vaccination status of the host (fully vaccinated, partially vaccinated, or not vaccinated).</v>
      </c>
      <c r="G90" s="29" t="str">
        <f>IFERROR(__xludf.DUMMYFUNCTION("""COMPUTED_VALUE"""),"Select the vaccination status of the host from the pick list.")</f>
        <v>Select the vaccination status of the host from the pick list.</v>
      </c>
      <c r="H90" s="29" t="str">
        <f>IFERROR(__xludf.DUMMYFUNCTION("""COMPUTED_VALUE"""),"Not Vaccinated ")</f>
        <v>Not Vaccinated </v>
      </c>
      <c r="I90" s="29"/>
      <c r="J90" s="29"/>
      <c r="K90" s="30" t="s">
        <v>19</v>
      </c>
      <c r="L90" s="30" t="s">
        <v>19</v>
      </c>
      <c r="M90" s="30" t="s">
        <v>19</v>
      </c>
      <c r="N90" s="31" t="str">
        <f>IFERROR(__xludf.DUMMYFUNCTION("""COMPUTED_VALUE"""),"Mpox")</f>
        <v>Mpox</v>
      </c>
    </row>
    <row r="91">
      <c r="A91" s="29" t="str">
        <f>IFERROR(__xludf.DUMMYFUNCTION("""COMPUTED_VALUE"""),"Host vaccination information")</f>
        <v>Host vaccination information</v>
      </c>
      <c r="B91" s="29" t="str">
        <f>IFERROR(__xludf.DUMMYFUNCTION("""COMPUTED_VALUE"""),"host vaccination status")</f>
        <v>host vaccination status</v>
      </c>
      <c r="C91" s="29" t="str">
        <f>IFERROR(__xludf.DUMMYFUNCTION("""COMPUTED_VALUE"""),"")</f>
        <v/>
      </c>
      <c r="D91" s="29" t="str">
        <f>IFERROR(__xludf.DUMMYFUNCTION("""COMPUTED_VALUE"""),"")</f>
        <v/>
      </c>
      <c r="E91" s="29" t="str">
        <f>IFERROR(__xludf.DUMMYFUNCTION("""COMPUTED_VALUE"""),"GENEPIO:0001404")</f>
        <v>GENEPIO:0001404</v>
      </c>
      <c r="F91" s="29" t="str">
        <f>IFERROR(__xludf.DUMMYFUNCTION("""COMPUTED_VALUE"""),"The vaccination status of the host (fully vaccinated, partially vaccinated, or not vaccinated).")</f>
        <v>The vaccination status of the host (fully vaccinated, partially vaccinated, or not vaccinated).</v>
      </c>
      <c r="G91" s="29" t="str">
        <f>IFERROR(__xludf.DUMMYFUNCTION("""COMPUTED_VALUE"""),"Select the vaccination status of the host from the pick list.")</f>
        <v>Select the vaccination status of the host from the pick list.</v>
      </c>
      <c r="H91" s="29" t="str">
        <f>IFERROR(__xludf.DUMMYFUNCTION("""COMPUTED_VALUE"""),"Not Vaccinated [GENEPIO:0100102]")</f>
        <v>Not Vaccinated [GENEPIO:0100102]</v>
      </c>
      <c r="I91" s="29"/>
      <c r="J91" s="29"/>
      <c r="K91" s="30" t="s">
        <v>19</v>
      </c>
      <c r="L91" s="30" t="s">
        <v>19</v>
      </c>
      <c r="M91" s="30" t="s">
        <v>19</v>
      </c>
      <c r="N91" s="31" t="str">
        <f>IFERROR(__xludf.DUMMYFUNCTION("""COMPUTED_VALUE"""),"Mpox_international")</f>
        <v>Mpox_international</v>
      </c>
    </row>
    <row r="92">
      <c r="A92" s="29" t="str">
        <f>IFERROR(__xludf.DUMMYFUNCTION("""COMPUTED_VALUE"""),"Host vaccination information")</f>
        <v>Host vaccination information</v>
      </c>
      <c r="B92" s="29" t="str">
        <f>IFERROR(__xludf.DUMMYFUNCTION("""COMPUTED_VALUE"""),"number of vaccine doses received")</f>
        <v>number of vaccine doses received</v>
      </c>
      <c r="C92" s="29" t="str">
        <f>IFERROR(__xludf.DUMMYFUNCTION("""COMPUTED_VALUE"""),"")</f>
        <v/>
      </c>
      <c r="D92" s="29" t="str">
        <f>IFERROR(__xludf.DUMMYFUNCTION("""COMPUTED_VALUE"""),"")</f>
        <v/>
      </c>
      <c r="E92" s="29" t="str">
        <f>IFERROR(__xludf.DUMMYFUNCTION("""COMPUTED_VALUE"""),"GENEPIO:0001406")</f>
        <v>GENEPIO:0001406</v>
      </c>
      <c r="F92" s="29" t="str">
        <f>IFERROR(__xludf.DUMMYFUNCTION("""COMPUTED_VALUE"""),"The number of doses of the vaccine recived by the host.")</f>
        <v>The number of doses of the vaccine recived by the host.</v>
      </c>
      <c r="G92" s="29" t="str">
        <f>IFERROR(__xludf.DUMMYFUNCTION("""COMPUTED_VALUE"""),"Record how many doses of the vaccine the host has received.")</f>
        <v>Record how many doses of the vaccine the host has received.</v>
      </c>
      <c r="H92" s="29">
        <f>IFERROR(__xludf.DUMMYFUNCTION("""COMPUTED_VALUE"""),1.0)</f>
        <v>1</v>
      </c>
      <c r="I92" s="29"/>
      <c r="J92" s="29"/>
      <c r="K92" s="30" t="s">
        <v>19</v>
      </c>
      <c r="L92" s="30" t="s">
        <v>19</v>
      </c>
      <c r="M92" s="30" t="s">
        <v>19</v>
      </c>
      <c r="N92" s="31" t="str">
        <f>IFERROR(__xludf.DUMMYFUNCTION("""COMPUTED_VALUE"""),"Mpox;Mpox_international")</f>
        <v>Mpox;Mpox_international</v>
      </c>
    </row>
    <row r="93">
      <c r="A93" s="29" t="str">
        <f>IFERROR(__xludf.DUMMYFUNCTION("""COMPUTED_VALUE"""),"Host vaccination information")</f>
        <v>Host vaccination information</v>
      </c>
      <c r="B93" s="29" t="str">
        <f>IFERROR(__xludf.DUMMYFUNCTION("""COMPUTED_VALUE"""),"vaccination dose 1 vaccine name")</f>
        <v>vaccination dose 1 vaccine name</v>
      </c>
      <c r="C93" s="29" t="str">
        <f>IFERROR(__xludf.DUMMYFUNCTION("""COMPUTED_VALUE"""),"")</f>
        <v/>
      </c>
      <c r="D93" s="29" t="str">
        <f>IFERROR(__xludf.DUMMYFUNCTION("""COMPUTED_VALUE"""),"")</f>
        <v/>
      </c>
      <c r="E93" s="29" t="str">
        <f>IFERROR(__xludf.DUMMYFUNCTION("""COMPUTED_VALUE"""),"GENEPIO:0100313")</f>
        <v>GENEPIO:0100313</v>
      </c>
      <c r="F93" s="29" t="str">
        <f>IFERROR(__xludf.DUMMYFUNCTION("""COMPUTED_VALUE"""),"The name of the vaccine administered as the first dose of a vaccine regimen.")</f>
        <v>The name of the vaccine administered as the first dose of a vaccine regimen.</v>
      </c>
      <c r="G93" s="29" t="str">
        <f>IFERROR(__xludf.DUMMYFUNCTION("""COMPUTED_VALUE"""),"Provide the name and the corresponding manufacturer of the Smallpox vaccine administered as the first dose.")</f>
        <v>Provide the name and the corresponding manufacturer of the Smallpox vaccine administered as the first dose.</v>
      </c>
      <c r="H93" s="29" t="str">
        <f>IFERROR(__xludf.DUMMYFUNCTION("""COMPUTED_VALUE"""),"IMVAMUNE (Bavarian Nordic)")</f>
        <v>IMVAMUNE (Bavarian Nordic)</v>
      </c>
      <c r="I93" s="29"/>
      <c r="J93" s="29"/>
      <c r="K93" s="29"/>
      <c r="L93" s="29"/>
      <c r="M93" s="29"/>
      <c r="N93" s="31" t="str">
        <f>IFERROR(__xludf.DUMMYFUNCTION("""COMPUTED_VALUE"""),"Mpox;Mpox_international")</f>
        <v>Mpox;Mpox_international</v>
      </c>
    </row>
    <row r="94">
      <c r="A94" s="29" t="str">
        <f>IFERROR(__xludf.DUMMYFUNCTION("""COMPUTED_VALUE"""),"Host vaccination information")</f>
        <v>Host vaccination information</v>
      </c>
      <c r="B94" s="29" t="str">
        <f>IFERROR(__xludf.DUMMYFUNCTION("""COMPUTED_VALUE"""),"vaccination dose 1 vaccination date")</f>
        <v>vaccination dose 1 vaccination date</v>
      </c>
      <c r="C94" s="29" t="str">
        <f>IFERROR(__xludf.DUMMYFUNCTION("""COMPUTED_VALUE"""),"")</f>
        <v/>
      </c>
      <c r="D94" s="29" t="str">
        <f>IFERROR(__xludf.DUMMYFUNCTION("""COMPUTED_VALUE"""),"")</f>
        <v/>
      </c>
      <c r="E94" s="29" t="str">
        <f>IFERROR(__xludf.DUMMYFUNCTION("""COMPUTED_VALUE"""),"GENEPIO:0100314")</f>
        <v>GENEPIO:0100314</v>
      </c>
      <c r="F94" s="29" t="str">
        <f>IFERROR(__xludf.DUMMYFUNCTION("""COMPUTED_VALUE"""),"The date the first dose of a vaccine was administered.")</f>
        <v>The date the first dose of a vaccine was administered.</v>
      </c>
      <c r="G94" s="29" t="str">
        <f>IFERROR(__xludf.DUMMYFUNCTION("""COMPUTED_VALUE"""),"Provide the date the first dose of Smallpox vaccine was administered. The date should be provided in ISO 8601 standard format ""YYYY-MM-DD"".")</f>
        <v>Provide the date the first dose of Smallpox vaccine was administered. The date should be provided in ISO 8601 standard format "YYYY-MM-DD".</v>
      </c>
      <c r="H94" s="37">
        <f>IFERROR(__xludf.DUMMYFUNCTION("""COMPUTED_VALUE"""),44713.0)</f>
        <v>44713</v>
      </c>
      <c r="I94" s="29"/>
      <c r="J94" s="29"/>
      <c r="K94" s="29"/>
      <c r="L94" s="29"/>
      <c r="M94" s="29"/>
      <c r="N94" s="31" t="str">
        <f>IFERROR(__xludf.DUMMYFUNCTION("""COMPUTED_VALUE"""),"Mpox;Mpox_international")</f>
        <v>Mpox;Mpox_international</v>
      </c>
    </row>
    <row r="95">
      <c r="A95" s="29" t="str">
        <f>IFERROR(__xludf.DUMMYFUNCTION("""COMPUTED_VALUE"""),"Host vaccination information")</f>
        <v>Host vaccination information</v>
      </c>
      <c r="B95" s="29" t="str">
        <f>IFERROR(__xludf.DUMMYFUNCTION("""COMPUTED_VALUE"""),"vaccination history")</f>
        <v>vaccination history</v>
      </c>
      <c r="C95" s="29" t="str">
        <f>IFERROR(__xludf.DUMMYFUNCTION("""COMPUTED_VALUE"""),"")</f>
        <v/>
      </c>
      <c r="D95" s="29" t="str">
        <f>IFERROR(__xludf.DUMMYFUNCTION("""COMPUTED_VALUE"""),"")</f>
        <v/>
      </c>
      <c r="E95" s="29" t="str">
        <f>IFERROR(__xludf.DUMMYFUNCTION("""COMPUTED_VALUE"""),"GENEPIO:0100321")</f>
        <v>GENEPIO:0100321</v>
      </c>
      <c r="F95" s="29" t="str">
        <f>IFERROR(__xludf.DUMMYFUNCTION("""COMPUTED_VALUE"""),"A description of the vaccines received and the administration dates of a series of vaccinations against a specific disease or a set of diseases.")</f>
        <v>A description of the vaccines received and the administration dates of a series of vaccinations against a specific disease or a set of diseases.</v>
      </c>
      <c r="G95" s="29" t="str">
        <f>IFERROR(__xludf.DUMMYFUNCTION("""COMPUTED_VALUE"""),"Free text description of the dates and vaccines administered against a particular disease/set of diseases. It is also acceptable to concatenate the individual dose information (vaccine name, vaccination date) separated by semicolons.")</f>
        <v>Free text description of the dates and vaccines administered against a particular disease/set of diseases. It is also acceptable to concatenate the individual dose information (vaccine name, vaccination date) separated by semicolons.</v>
      </c>
      <c r="H95" s="29" t="str">
        <f>IFERROR(__xludf.DUMMYFUNCTION("""COMPUTED_VALUE"""),"IMVAMUNE (Bavarian Nordic); 2022-06-01")</f>
        <v>IMVAMUNE (Bavarian Nordic); 2022-06-01</v>
      </c>
      <c r="I95" s="29"/>
      <c r="J95" s="29"/>
      <c r="K95" s="30" t="s">
        <v>19</v>
      </c>
      <c r="L95" s="30" t="s">
        <v>19</v>
      </c>
      <c r="M95" s="30" t="s">
        <v>19</v>
      </c>
      <c r="N95" s="31" t="str">
        <f>IFERROR(__xludf.DUMMYFUNCTION("""COMPUTED_VALUE"""),"Mpox;Mpox_international")</f>
        <v>Mpox;Mpox_international</v>
      </c>
    </row>
    <row r="96">
      <c r="A96" s="29"/>
      <c r="B96" s="29"/>
      <c r="C96" s="29"/>
      <c r="D96" s="29"/>
      <c r="E96" s="29"/>
      <c r="F96" s="29"/>
      <c r="G96" s="29"/>
      <c r="H96" s="29"/>
      <c r="I96" s="29"/>
      <c r="J96" s="29"/>
      <c r="K96" s="30" t="s">
        <v>19</v>
      </c>
      <c r="L96" s="30" t="s">
        <v>19</v>
      </c>
      <c r="M96" s="30" t="s">
        <v>19</v>
      </c>
      <c r="N96" s="40"/>
    </row>
    <row r="97">
      <c r="A97" s="29"/>
      <c r="B97" s="29" t="str">
        <f>IFERROR(__xludf.DUMMYFUNCTION("""COMPUTED_VALUE"""),"Host exposure information")</f>
        <v>Host exposure information</v>
      </c>
      <c r="C97" s="29" t="str">
        <f>IFERROR(__xludf.DUMMYFUNCTION("""COMPUTED_VALUE"""),"")</f>
        <v/>
      </c>
      <c r="D97" s="29" t="str">
        <f>IFERROR(__xludf.DUMMYFUNCTION("""COMPUTED_VALUE"""),"")</f>
        <v/>
      </c>
      <c r="E97" s="29" t="str">
        <f>IFERROR(__xludf.DUMMYFUNCTION("""COMPUTED_VALUE"""),"GENEPIO:0001409")</f>
        <v>GENEPIO:0001409</v>
      </c>
      <c r="F97" s="29"/>
      <c r="G97" s="29"/>
      <c r="H97" s="29"/>
      <c r="I97" s="29"/>
      <c r="J97" s="29"/>
      <c r="K97" s="30" t="s">
        <v>19</v>
      </c>
      <c r="L97" s="30" t="s">
        <v>19</v>
      </c>
      <c r="M97" s="30" t="s">
        <v>19</v>
      </c>
      <c r="N97" s="31" t="str">
        <f>IFERROR(__xludf.DUMMYFUNCTION("""COMPUTED_VALUE"""),"Mpox;Mpox_international")</f>
        <v>Mpox;Mpox_international</v>
      </c>
    </row>
    <row r="98">
      <c r="A98" s="29" t="str">
        <f>IFERROR(__xludf.DUMMYFUNCTION("""COMPUTED_VALUE"""),"Host exposure information")</f>
        <v>Host exposure information</v>
      </c>
      <c r="B98" s="29" t="str">
        <f>IFERROR(__xludf.DUMMYFUNCTION("""COMPUTED_VALUE"""),"location of exposure geo_loc name (country)")</f>
        <v>location of exposure geo_loc name (country)</v>
      </c>
      <c r="C98" s="29"/>
      <c r="D98" s="29"/>
      <c r="E98" s="29" t="str">
        <f>IFERROR(__xludf.DUMMYFUNCTION("""COMPUTED_VALUE"""),"GENEPIO:0001410")</f>
        <v>GENEPIO:0001410</v>
      </c>
      <c r="F98" s="29" t="str">
        <f>IFERROR(__xludf.DUMMYFUNCTION("""COMPUTED_VALUE"""),"The country where the host was likely exposed to the causative agent of the illness.")</f>
        <v>The country where the host was likely exposed to the causative agent of the illness.</v>
      </c>
      <c r="G98" s="29" t="str">
        <f>IFERROR(__xludf.DUMMYFUNCTION("""COMPUTED_VALUE"""),"Select the country name from the pick list provided in the template.")</f>
        <v>Select the country name from the pick list provided in the template.</v>
      </c>
      <c r="H98" s="29" t="str">
        <f>IFERROR(__xludf.DUMMYFUNCTION("""COMPUTED_VALUE"""),"Canada")</f>
        <v>Canada</v>
      </c>
      <c r="I98" s="29"/>
      <c r="J98" s="29"/>
      <c r="K98" s="30" t="s">
        <v>19</v>
      </c>
      <c r="L98" s="30" t="s">
        <v>19</v>
      </c>
      <c r="M98" s="30" t="s">
        <v>19</v>
      </c>
      <c r="N98" s="31" t="str">
        <f>IFERROR(__xludf.DUMMYFUNCTION("""COMPUTED_VALUE"""),"Mpox")</f>
        <v>Mpox</v>
      </c>
    </row>
    <row r="99">
      <c r="A99" s="29" t="str">
        <f>IFERROR(__xludf.DUMMYFUNCTION("""COMPUTED_VALUE"""),"Host exposure information")</f>
        <v>Host exposure information</v>
      </c>
      <c r="B99" s="29" t="str">
        <f>IFERROR(__xludf.DUMMYFUNCTION("""COMPUTED_VALUE"""),"location of exposure geo_loc name (country)")</f>
        <v>location of exposure geo_loc name (country)</v>
      </c>
      <c r="C99" s="29"/>
      <c r="D99" s="29"/>
      <c r="E99" s="29" t="str">
        <f>IFERROR(__xludf.DUMMYFUNCTION("""COMPUTED_VALUE"""),"GENEPIO:0001410")</f>
        <v>GENEPIO:0001410</v>
      </c>
      <c r="F99" s="29" t="str">
        <f>IFERROR(__xludf.DUMMYFUNCTION("""COMPUTED_VALUE"""),"The country where the host was likely exposed to the causative agent of the illness.")</f>
        <v>The country where the host was likely exposed to the causative agent of the illness.</v>
      </c>
      <c r="G99" s="29" t="str">
        <f>IFERROR(__xludf.DUMMYFUNCTION("""COMPUTED_VALUE"""),"Select the country name from the pick list provided in the template.")</f>
        <v>Select the country name from the pick list provided in the template.</v>
      </c>
      <c r="H99" s="29" t="str">
        <f>IFERROR(__xludf.DUMMYFUNCTION("""COMPUTED_VALUE"""),"Canada [GAZ:00002560]")</f>
        <v>Canada [GAZ:00002560]</v>
      </c>
      <c r="I99" s="29"/>
      <c r="J99" s="29"/>
      <c r="K99" s="30" t="s">
        <v>19</v>
      </c>
      <c r="L99" s="30" t="s">
        <v>19</v>
      </c>
      <c r="M99" s="30" t="s">
        <v>19</v>
      </c>
      <c r="N99" s="31" t="str">
        <f>IFERROR(__xludf.DUMMYFUNCTION("""COMPUTED_VALUE"""),"Mpox_international")</f>
        <v>Mpox_international</v>
      </c>
    </row>
    <row r="100">
      <c r="A100" s="29" t="str">
        <f>IFERROR(__xludf.DUMMYFUNCTION("""COMPUTED_VALUE"""),"Host exposure information")</f>
        <v>Host exposure information</v>
      </c>
      <c r="B100" s="29" t="str">
        <f>IFERROR(__xludf.DUMMYFUNCTION("""COMPUTED_VALUE"""),"destination of most recent travel (city)")</f>
        <v>destination of most recent travel (city)</v>
      </c>
      <c r="C100" s="29"/>
      <c r="D100" s="29"/>
      <c r="E100" s="29" t="str">
        <f>IFERROR(__xludf.DUMMYFUNCTION("""COMPUTED_VALUE"""),"GENEPIO:0001411")</f>
        <v>GENEPIO:0001411</v>
      </c>
      <c r="F100" s="29" t="str">
        <f>IFERROR(__xludf.DUMMYFUNCTION("""COMPUTED_VALUE"""),"The name of the city that was the destination of most recent travel.")</f>
        <v>The name of the city that was the destination of most recent travel.</v>
      </c>
      <c r="G100" s="29" t="str">
        <f>IFERROR(__xludf.DUMMYFUNCTION("""COMPUTED_VALUE"""),"Provide the name of the city that the host travelled to. Use this look-up service to identify the standardized term: https://www.ebi.ac.uk/ols/ontologies/gaz")</f>
        <v>Provide the name of the city that the host travelled to. Use this look-up service to identify the standardized term: https://www.ebi.ac.uk/ols/ontologies/gaz</v>
      </c>
      <c r="H100" s="29" t="str">
        <f>IFERROR(__xludf.DUMMYFUNCTION("""COMPUTED_VALUE"""),"New York City ")</f>
        <v>New York City </v>
      </c>
      <c r="I100" s="29"/>
      <c r="J100" s="29"/>
      <c r="K100" s="30" t="s">
        <v>19</v>
      </c>
      <c r="L100" s="30" t="s">
        <v>19</v>
      </c>
      <c r="M100" s="30" t="s">
        <v>19</v>
      </c>
      <c r="N100" s="31" t="str">
        <f>IFERROR(__xludf.DUMMYFUNCTION("""COMPUTED_VALUE"""),"Mpox;Mpox_international")</f>
        <v>Mpox;Mpox_international</v>
      </c>
    </row>
    <row r="101">
      <c r="A101" s="29" t="str">
        <f>IFERROR(__xludf.DUMMYFUNCTION("""COMPUTED_VALUE"""),"Host exposure information")</f>
        <v>Host exposure information</v>
      </c>
      <c r="B101" s="29" t="str">
        <f>IFERROR(__xludf.DUMMYFUNCTION("""COMPUTED_VALUE"""),"destination of most recent travel (state/province/territory)")</f>
        <v>destination of most recent travel (state/province/territory)</v>
      </c>
      <c r="C101" s="29"/>
      <c r="D101" s="29"/>
      <c r="E101" s="29" t="str">
        <f>IFERROR(__xludf.DUMMYFUNCTION("""COMPUTED_VALUE"""),"GENEPIO:0001412")</f>
        <v>GENEPIO:0001412</v>
      </c>
      <c r="F101" s="29" t="str">
        <f>IFERROR(__xludf.DUMMYFUNCTION("""COMPUTED_VALUE"""),"The name of the state/province/territory that was the destination of most recent travel.")</f>
        <v>The name of the state/province/territory that was the destination of most recent travel.</v>
      </c>
      <c r="G101" s="29" t="str">
        <f>IFERROR(__xludf.DUMMYFUNCTION("""COMPUTED_VALUE"""),"Select the province name from the pick list provided in the template.")</f>
        <v>Select the province name from the pick list provided in the template.</v>
      </c>
      <c r="H101" s="29"/>
      <c r="I101" s="29"/>
      <c r="J101" s="29"/>
      <c r="K101" s="30" t="s">
        <v>19</v>
      </c>
      <c r="L101" s="30" t="s">
        <v>19</v>
      </c>
      <c r="M101" s="30" t="s">
        <v>19</v>
      </c>
      <c r="N101" s="31" t="str">
        <f>IFERROR(__xludf.DUMMYFUNCTION("""COMPUTED_VALUE"""),"Mpox")</f>
        <v>Mpox</v>
      </c>
    </row>
    <row r="102">
      <c r="A102" s="29" t="str">
        <f>IFERROR(__xludf.DUMMYFUNCTION("""COMPUTED_VALUE"""),"Host exposure information")</f>
        <v>Host exposure information</v>
      </c>
      <c r="B102" s="29" t="str">
        <f>IFERROR(__xludf.DUMMYFUNCTION("""COMPUTED_VALUE"""),"destination of most recent travel (state/province/territory)")</f>
        <v>destination of most recent travel (state/province/territory)</v>
      </c>
      <c r="C102" s="29"/>
      <c r="D102" s="29"/>
      <c r="E102" s="29" t="str">
        <f>IFERROR(__xludf.DUMMYFUNCTION("""COMPUTED_VALUE"""),"GENEPIO:0001412")</f>
        <v>GENEPIO:0001412</v>
      </c>
      <c r="F102" s="29" t="str">
        <f>IFERROR(__xludf.DUMMYFUNCTION("""COMPUTED_VALUE"""),"The name of the state/province/territory that was the destination of most recent travel.")</f>
        <v>The name of the state/province/territory that was the destination of most recent travel.</v>
      </c>
      <c r="G102" s="41" t="str">
        <f>IFERROR(__xludf.DUMMYFUNCTION("""COMPUTED_VALUE"""),"Provide the name of the state/province/territory that the host travelled to. Use this look-up service to identify the standardized term: https://www.ebi.ac.uk/ols/ontologies/gaz")</f>
        <v>Provide the name of the state/province/territory that the host travelled to. Use this look-up service to identify the standardized term: https://www.ebi.ac.uk/ols/ontologies/gaz</v>
      </c>
      <c r="H102" s="29" t="str">
        <f>IFERROR(__xludf.DUMMYFUNCTION("""COMPUTED_VALUE"""),"California ")</f>
        <v>California </v>
      </c>
      <c r="I102" s="29"/>
      <c r="J102" s="29"/>
      <c r="K102" s="30" t="s">
        <v>19</v>
      </c>
      <c r="L102" s="30" t="s">
        <v>19</v>
      </c>
      <c r="M102" s="30" t="s">
        <v>19</v>
      </c>
      <c r="N102" s="31" t="str">
        <f>IFERROR(__xludf.DUMMYFUNCTION("""COMPUTED_VALUE"""),"Mpox_international")</f>
        <v>Mpox_international</v>
      </c>
    </row>
    <row r="103">
      <c r="A103" s="29" t="str">
        <f>IFERROR(__xludf.DUMMYFUNCTION("""COMPUTED_VALUE"""),"Host exposure information")</f>
        <v>Host exposure information</v>
      </c>
      <c r="B103" s="29" t="str">
        <f>IFERROR(__xludf.DUMMYFUNCTION("""COMPUTED_VALUE"""),"destination of most recent travel (country)")</f>
        <v>destination of most recent travel (country)</v>
      </c>
      <c r="C103" s="29"/>
      <c r="D103" s="29"/>
      <c r="E103" s="29" t="str">
        <f>IFERROR(__xludf.DUMMYFUNCTION("""COMPUTED_VALUE"""),"GENEPIO:0001413")</f>
        <v>GENEPIO:0001413</v>
      </c>
      <c r="F103" s="29" t="str">
        <f>IFERROR(__xludf.DUMMYFUNCTION("""COMPUTED_VALUE"""),"The name of the country that was the destination of most recent travel.")</f>
        <v>The name of the country that was the destination of most recent travel.</v>
      </c>
      <c r="G103" s="29" t="str">
        <f>IFERROR(__xludf.DUMMYFUNCTION("""COMPUTED_VALUE"""),"Select the country name from the pick list provided in the template.")</f>
        <v>Select the country name from the pick list provided in the template.</v>
      </c>
      <c r="H103" s="29" t="str">
        <f>IFERROR(__xludf.DUMMYFUNCTION("""COMPUTED_VALUE"""),"Canada")</f>
        <v>Canada</v>
      </c>
      <c r="I103" s="29"/>
      <c r="J103" s="29"/>
      <c r="K103" s="30" t="s">
        <v>19</v>
      </c>
      <c r="L103" s="30" t="s">
        <v>19</v>
      </c>
      <c r="M103" s="30" t="s">
        <v>19</v>
      </c>
      <c r="N103" s="31" t="str">
        <f>IFERROR(__xludf.DUMMYFUNCTION("""COMPUTED_VALUE"""),"Mpox")</f>
        <v>Mpox</v>
      </c>
    </row>
    <row r="104">
      <c r="A104" s="29" t="str">
        <f>IFERROR(__xludf.DUMMYFUNCTION("""COMPUTED_VALUE"""),"Host exposure information")</f>
        <v>Host exposure information</v>
      </c>
      <c r="B104" s="29" t="str">
        <f>IFERROR(__xludf.DUMMYFUNCTION("""COMPUTED_VALUE"""),"destination of most recent travel (country)")</f>
        <v>destination of most recent travel (country)</v>
      </c>
      <c r="C104" s="29"/>
      <c r="D104" s="29"/>
      <c r="E104" s="29" t="str">
        <f>IFERROR(__xludf.DUMMYFUNCTION("""COMPUTED_VALUE"""),"GENEPIO:0001413")</f>
        <v>GENEPIO:0001413</v>
      </c>
      <c r="F104" s="29" t="str">
        <f>IFERROR(__xludf.DUMMYFUNCTION("""COMPUTED_VALUE"""),"The name of the country that was the destination of most recent travel.")</f>
        <v>The name of the country that was the destination of most recent travel.</v>
      </c>
      <c r="G104" s="29" t="str">
        <f>IFERROR(__xludf.DUMMYFUNCTION("""COMPUTED_VALUE"""),"Select the country name from the pick list provided in the template.")</f>
        <v>Select the country name from the pick list provided in the template.</v>
      </c>
      <c r="H104" s="29" t="str">
        <f>IFERROR(__xludf.DUMMYFUNCTION("""COMPUTED_VALUE"""),"United Kingdom [GAZ:00002637]")</f>
        <v>United Kingdom [GAZ:00002637]</v>
      </c>
      <c r="I104" s="29"/>
      <c r="J104" s="29"/>
      <c r="K104" s="30" t="s">
        <v>19</v>
      </c>
      <c r="L104" s="30" t="s">
        <v>19</v>
      </c>
      <c r="M104" s="30" t="s">
        <v>19</v>
      </c>
      <c r="N104" s="31" t="str">
        <f>IFERROR(__xludf.DUMMYFUNCTION("""COMPUTED_VALUE"""),"Mpox_international")</f>
        <v>Mpox_international</v>
      </c>
    </row>
    <row r="105">
      <c r="A105" s="29" t="str">
        <f>IFERROR(__xludf.DUMMYFUNCTION("""COMPUTED_VALUE"""),"Host exposure information")</f>
        <v>Host exposure information</v>
      </c>
      <c r="B105" s="29" t="str">
        <f>IFERROR(__xludf.DUMMYFUNCTION("""COMPUTED_VALUE"""),"most recent travel departure date")</f>
        <v>most recent travel departure date</v>
      </c>
      <c r="C105" s="29"/>
      <c r="D105" s="29"/>
      <c r="E105" s="29" t="str">
        <f>IFERROR(__xludf.DUMMYFUNCTION("""COMPUTED_VALUE"""),"GENEPIO:0001414")</f>
        <v>GENEPIO:0001414</v>
      </c>
      <c r="F105" s="29" t="str">
        <f>IFERROR(__xludf.DUMMYFUNCTION("""COMPUTED_VALUE"""),"The date of a person's most recent departure from their primary residence (at that time) on a journey to one or more other locations.")</f>
        <v>The date of a person's most recent departure from their primary residence (at that time) on a journey to one or more other locations.</v>
      </c>
      <c r="G105" s="29" t="str">
        <f>IFERROR(__xludf.DUMMYFUNCTION("""COMPUTED_VALUE"""),"Provide the travel departure date.")</f>
        <v>Provide the travel departure date.</v>
      </c>
      <c r="H105" s="37">
        <f>IFERROR(__xludf.DUMMYFUNCTION("""COMPUTED_VALUE"""),43906.0)</f>
        <v>43906</v>
      </c>
      <c r="I105" s="29"/>
      <c r="J105" s="29"/>
      <c r="K105" s="30" t="s">
        <v>19</v>
      </c>
      <c r="L105" s="30" t="s">
        <v>19</v>
      </c>
      <c r="M105" s="30" t="s">
        <v>19</v>
      </c>
      <c r="N105" s="31" t="str">
        <f>IFERROR(__xludf.DUMMYFUNCTION("""COMPUTED_VALUE"""),"Mpox;Mpox_international")</f>
        <v>Mpox;Mpox_international</v>
      </c>
    </row>
    <row r="106">
      <c r="A106" s="29" t="str">
        <f>IFERROR(__xludf.DUMMYFUNCTION("""COMPUTED_VALUE"""),"Host exposure information")</f>
        <v>Host exposure information</v>
      </c>
      <c r="B106" s="29" t="str">
        <f>IFERROR(__xludf.DUMMYFUNCTION("""COMPUTED_VALUE"""),"most recent travel return date")</f>
        <v>most recent travel return date</v>
      </c>
      <c r="C106" s="29"/>
      <c r="D106" s="29"/>
      <c r="E106" s="29" t="str">
        <f>IFERROR(__xludf.DUMMYFUNCTION("""COMPUTED_VALUE"""),"GENEPIO:0001415")</f>
        <v>GENEPIO:0001415</v>
      </c>
      <c r="F106" s="29" t="str">
        <f>IFERROR(__xludf.DUMMYFUNCTION("""COMPUTED_VALUE"""),"The date of a person's most recent return to some residence from a journey originating at that residence.")</f>
        <v>The date of a person's most recent return to some residence from a journey originating at that residence.</v>
      </c>
      <c r="G106" s="29" t="str">
        <f>IFERROR(__xludf.DUMMYFUNCTION("""COMPUTED_VALUE"""),"Provide the travel return date.")</f>
        <v>Provide the travel return date.</v>
      </c>
      <c r="H106" s="37">
        <f>IFERROR(__xludf.DUMMYFUNCTION("""COMPUTED_VALUE"""),43947.0)</f>
        <v>43947</v>
      </c>
      <c r="I106" s="29"/>
      <c r="J106" s="29"/>
      <c r="K106" s="30" t="s">
        <v>19</v>
      </c>
      <c r="L106" s="30" t="s">
        <v>19</v>
      </c>
      <c r="M106" s="30" t="s">
        <v>19</v>
      </c>
      <c r="N106" s="31" t="str">
        <f>IFERROR(__xludf.DUMMYFUNCTION("""COMPUTED_VALUE"""),"Mpox;Mpox_international")</f>
        <v>Mpox;Mpox_international</v>
      </c>
    </row>
    <row r="107">
      <c r="A107" s="29" t="str">
        <f>IFERROR(__xludf.DUMMYFUNCTION("""COMPUTED_VALUE"""),"Host exposure information")</f>
        <v>Host exposure information</v>
      </c>
      <c r="B107" s="29" t="str">
        <f>IFERROR(__xludf.DUMMYFUNCTION("""COMPUTED_VALUE"""),"travel history")</f>
        <v>travel history</v>
      </c>
      <c r="C107" s="29" t="str">
        <f>IFERROR(__xludf.DUMMYFUNCTION("""COMPUTED_VALUE"""),"")</f>
        <v/>
      </c>
      <c r="D107" s="29" t="str">
        <f>IFERROR(__xludf.DUMMYFUNCTION("""COMPUTED_VALUE"""),"")</f>
        <v/>
      </c>
      <c r="E107" s="29" t="str">
        <f>IFERROR(__xludf.DUMMYFUNCTION("""COMPUTED_VALUE"""),"GENEPIO:0001416")</f>
        <v>GENEPIO:0001416</v>
      </c>
      <c r="F107" s="29" t="str">
        <f>IFERROR(__xludf.DUMMYFUNCTION("""COMPUTED_VALUE"""),"Travel history in last six months.")</f>
        <v>Travel history in last six months.</v>
      </c>
      <c r="G107" s="29" t="str">
        <f>IFERROR(__xludf.DUMMYFUNCTION("""COMPUTED_VALUE"""),"Specify the countries (and more granular locations if known, separated by a comma) travelled in the last six months; can include multiple travels. Separate multiple travel events with a semi-colon. List most recent travel first.")</f>
        <v>Specify the countries (and more granular locations if known, separated by a comma) travelled in the last six months; can include multiple travels. Separate multiple travel events with a semi-colon. List most recent travel first.</v>
      </c>
      <c r="H107" s="29" t="str">
        <f>IFERROR(__xludf.DUMMYFUNCTION("""COMPUTED_VALUE"""),"Canada, Vancouver; USA, Seattle; Italy, Milan")</f>
        <v>Canada, Vancouver; USA, Seattle; Italy, Milan</v>
      </c>
      <c r="I107" s="29"/>
      <c r="J107" s="29"/>
      <c r="K107" s="30" t="s">
        <v>19</v>
      </c>
      <c r="L107" s="30" t="s">
        <v>19</v>
      </c>
      <c r="M107" s="30" t="s">
        <v>19</v>
      </c>
      <c r="N107" s="31" t="str">
        <f>IFERROR(__xludf.DUMMYFUNCTION("""COMPUTED_VALUE"""),"Mpox;Mpox_international")</f>
        <v>Mpox;Mpox_international</v>
      </c>
    </row>
    <row r="108">
      <c r="A108" s="29" t="str">
        <f>IFERROR(__xludf.DUMMYFUNCTION("""COMPUTED_VALUE"""),"Host exposure information")</f>
        <v>Host exposure information</v>
      </c>
      <c r="B108" s="29" t="str">
        <f>IFERROR(__xludf.DUMMYFUNCTION("""COMPUTED_VALUE"""),"exposure event")</f>
        <v>exposure event</v>
      </c>
      <c r="C108" s="29" t="str">
        <f>IFERROR(__xludf.DUMMYFUNCTION("""COMPUTED_VALUE"""),"")</f>
        <v/>
      </c>
      <c r="D108" s="29" t="str">
        <f>IFERROR(__xludf.DUMMYFUNCTION("""COMPUTED_VALUE"""),"")</f>
        <v/>
      </c>
      <c r="E108" s="29" t="str">
        <f>IFERROR(__xludf.DUMMYFUNCTION("""COMPUTED_VALUE"""),"GENEPIO:0001417")</f>
        <v>GENEPIO:0001417</v>
      </c>
      <c r="F108" s="29" t="str">
        <f>IFERROR(__xludf.DUMMYFUNCTION("""COMPUTED_VALUE"""),"Event leading to exposure.")</f>
        <v>Event leading to exposure.</v>
      </c>
      <c r="G108"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08" s="29" t="str">
        <f>IFERROR(__xludf.DUMMYFUNCTION("""COMPUTED_VALUE"""),"Party ")</f>
        <v>Party </v>
      </c>
      <c r="I108" s="29"/>
      <c r="J108" s="29"/>
      <c r="K108" s="30" t="s">
        <v>19</v>
      </c>
      <c r="L108" s="30" t="s">
        <v>19</v>
      </c>
      <c r="M108" s="30" t="s">
        <v>19</v>
      </c>
      <c r="N108" s="31" t="str">
        <f>IFERROR(__xludf.DUMMYFUNCTION("""COMPUTED_VALUE"""),"Mpox")</f>
        <v>Mpox</v>
      </c>
    </row>
    <row r="109">
      <c r="A109" s="29" t="str">
        <f>IFERROR(__xludf.DUMMYFUNCTION("""COMPUTED_VALUE"""),"Host exposure information")</f>
        <v>Host exposure information</v>
      </c>
      <c r="B109" s="29" t="str">
        <f>IFERROR(__xludf.DUMMYFUNCTION("""COMPUTED_VALUE"""),"exposure event")</f>
        <v>exposure event</v>
      </c>
      <c r="C109" s="29" t="str">
        <f>IFERROR(__xludf.DUMMYFUNCTION("""COMPUTED_VALUE"""),"")</f>
        <v/>
      </c>
      <c r="D109" s="29" t="str">
        <f>IFERROR(__xludf.DUMMYFUNCTION("""COMPUTED_VALUE"""),"")</f>
        <v/>
      </c>
      <c r="E109" s="29" t="str">
        <f>IFERROR(__xludf.DUMMYFUNCTION("""COMPUTED_VALUE"""),"GENEPIO:0001417")</f>
        <v>GENEPIO:0001417</v>
      </c>
      <c r="F109" s="29" t="str">
        <f>IFERROR(__xludf.DUMMYFUNCTION("""COMPUTED_VALUE"""),"Event leading to exposure.")</f>
        <v>Event leading to exposure.</v>
      </c>
      <c r="G109" s="29" t="str">
        <f>IFERROR(__xludf.DUMMYFUNCTION("""COMPUTED_VALUE"""),"Select an exposure event from the pick list provided in the template. If the desired term is missing, contact the DataHarmonizer curation team.")</f>
        <v>Select an exposure event from the pick list provided in the template. If the desired term is missing, contact the DataHarmonizer curation team.</v>
      </c>
      <c r="H109" s="29" t="str">
        <f>IFERROR(__xludf.DUMMYFUNCTION("""COMPUTED_VALUE"""),"Party [PCO:0000035]")</f>
        <v>Party [PCO:0000035]</v>
      </c>
      <c r="I109" s="29"/>
      <c r="J109" s="29"/>
      <c r="K109" s="30" t="s">
        <v>19</v>
      </c>
      <c r="L109" s="30" t="s">
        <v>19</v>
      </c>
      <c r="M109" s="30" t="s">
        <v>19</v>
      </c>
      <c r="N109" s="31" t="str">
        <f>IFERROR(__xludf.DUMMYFUNCTION("""COMPUTED_VALUE"""),"Mpox_international")</f>
        <v>Mpox_international</v>
      </c>
    </row>
    <row r="110">
      <c r="A110" s="29" t="str">
        <f>IFERROR(__xludf.DUMMYFUNCTION("""COMPUTED_VALUE"""),"Host exposure information")</f>
        <v>Host exposure information</v>
      </c>
      <c r="B110" s="29" t="str">
        <f>IFERROR(__xludf.DUMMYFUNCTION("""COMPUTED_VALUE"""),"exposure contact level")</f>
        <v>exposure contact level</v>
      </c>
      <c r="C110" s="29" t="str">
        <f>IFERROR(__xludf.DUMMYFUNCTION("""COMPUTED_VALUE"""),"")</f>
        <v/>
      </c>
      <c r="D110" s="29" t="str">
        <f>IFERROR(__xludf.DUMMYFUNCTION("""COMPUTED_VALUE"""),"")</f>
        <v/>
      </c>
      <c r="E110" s="29" t="str">
        <f>IFERROR(__xludf.DUMMYFUNCTION("""COMPUTED_VALUE"""),"GENEPIO:0001418")</f>
        <v>GENEPIO:0001418</v>
      </c>
      <c r="F110" s="29" t="str">
        <f>IFERROR(__xludf.DUMMYFUNCTION("""COMPUTED_VALUE"""),"The exposure transmission contact type.")</f>
        <v>The exposure transmission contact type.</v>
      </c>
      <c r="G110" s="29" t="str">
        <f>IFERROR(__xludf.DUMMYFUNCTION("""COMPUTED_VALUE"""),"Select exposure contact level from the pick-list.")</f>
        <v>Select exposure contact level from the pick-list.</v>
      </c>
      <c r="H110" s="29" t="str">
        <f>IFERROR(__xludf.DUMMYFUNCTION("""COMPUTED_VALUE"""),"Contact with infected individual ")</f>
        <v>Contact with infected individual </v>
      </c>
      <c r="I110" s="29"/>
      <c r="J110" s="29"/>
      <c r="K110" s="30" t="s">
        <v>19</v>
      </c>
      <c r="L110" s="30" t="s">
        <v>19</v>
      </c>
      <c r="M110" s="30" t="s">
        <v>19</v>
      </c>
      <c r="N110" s="31" t="str">
        <f>IFERROR(__xludf.DUMMYFUNCTION("""COMPUTED_VALUE"""),"Mpox")</f>
        <v>Mpox</v>
      </c>
    </row>
    <row r="111">
      <c r="A111" s="29" t="str">
        <f>IFERROR(__xludf.DUMMYFUNCTION("""COMPUTED_VALUE"""),"Host exposure information")</f>
        <v>Host exposure information</v>
      </c>
      <c r="B111" s="29" t="str">
        <f>IFERROR(__xludf.DUMMYFUNCTION("""COMPUTED_VALUE"""),"exposure contact level")</f>
        <v>exposure contact level</v>
      </c>
      <c r="C111" s="29" t="str">
        <f>IFERROR(__xludf.DUMMYFUNCTION("""COMPUTED_VALUE"""),"")</f>
        <v/>
      </c>
      <c r="D111" s="29" t="str">
        <f>IFERROR(__xludf.DUMMYFUNCTION("""COMPUTED_VALUE"""),"")</f>
        <v/>
      </c>
      <c r="E111" s="29" t="str">
        <f>IFERROR(__xludf.DUMMYFUNCTION("""COMPUTED_VALUE"""),"GENEPIO:0001418")</f>
        <v>GENEPIO:0001418</v>
      </c>
      <c r="F111" s="29" t="str">
        <f>IFERROR(__xludf.DUMMYFUNCTION("""COMPUTED_VALUE"""),"The exposure transmission contact type.")</f>
        <v>The exposure transmission contact type.</v>
      </c>
      <c r="G111" s="29" t="str">
        <f>IFERROR(__xludf.DUMMYFUNCTION("""COMPUTED_VALUE"""),"Select exposure contact level from the pick-list.")</f>
        <v>Select exposure contact level from the pick-list.</v>
      </c>
      <c r="H111" s="29" t="str">
        <f>IFERROR(__xludf.DUMMYFUNCTION("""COMPUTED_VALUE"""),"Contact with infected individual [GENEPIO:0100357]")</f>
        <v>Contact with infected individual [GENEPIO:0100357]</v>
      </c>
      <c r="I111" s="29"/>
      <c r="J111" s="29"/>
      <c r="K111" s="30" t="s">
        <v>19</v>
      </c>
      <c r="L111" s="30" t="s">
        <v>19</v>
      </c>
      <c r="M111" s="30" t="s">
        <v>19</v>
      </c>
      <c r="N111" s="31" t="str">
        <f>IFERROR(__xludf.DUMMYFUNCTION("""COMPUTED_VALUE"""),"Mpox_international")</f>
        <v>Mpox_international</v>
      </c>
    </row>
    <row r="112">
      <c r="A112" s="29" t="str">
        <f>IFERROR(__xludf.DUMMYFUNCTION("""COMPUTED_VALUE"""),"Host exposure information")</f>
        <v>Host exposure information</v>
      </c>
      <c r="B112" s="29" t="str">
        <f>IFERROR(__xludf.DUMMYFUNCTION("""COMPUTED_VALUE"""),"host role")</f>
        <v>host role</v>
      </c>
      <c r="C112" s="29" t="str">
        <f>IFERROR(__xludf.DUMMYFUNCTION("""COMPUTED_VALUE"""),"")</f>
        <v/>
      </c>
      <c r="D112" s="29" t="str">
        <f>IFERROR(__xludf.DUMMYFUNCTION("""COMPUTED_VALUE"""),"")</f>
        <v/>
      </c>
      <c r="E112" s="29" t="str">
        <f>IFERROR(__xludf.DUMMYFUNCTION("""COMPUTED_VALUE"""),"GENEPIO:0001419")</f>
        <v>GENEPIO:0001419</v>
      </c>
      <c r="F112" s="29" t="str">
        <f>IFERROR(__xludf.DUMMYFUNCTION("""COMPUTED_VALUE"""),"The role of the host in relation to the exposure setting.")</f>
        <v>The role of the host in relation to the exposure setting.</v>
      </c>
      <c r="G112"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2" s="29" t="str">
        <f>IFERROR(__xludf.DUMMYFUNCTION("""COMPUTED_VALUE"""),"Acquaintance of case ")</f>
        <v>Acquaintance of case </v>
      </c>
      <c r="I112" s="29"/>
      <c r="J112" s="29"/>
      <c r="K112" s="30" t="s">
        <v>19</v>
      </c>
      <c r="L112" s="30" t="s">
        <v>19</v>
      </c>
      <c r="M112" s="30" t="s">
        <v>19</v>
      </c>
      <c r="N112" s="31" t="str">
        <f>IFERROR(__xludf.DUMMYFUNCTION("""COMPUTED_VALUE"""),"Mpox")</f>
        <v>Mpox</v>
      </c>
    </row>
    <row r="113">
      <c r="A113" s="29" t="str">
        <f>IFERROR(__xludf.DUMMYFUNCTION("""COMPUTED_VALUE"""),"Host exposure information")</f>
        <v>Host exposure information</v>
      </c>
      <c r="B113" s="29" t="str">
        <f>IFERROR(__xludf.DUMMYFUNCTION("""COMPUTED_VALUE"""),"host role")</f>
        <v>host role</v>
      </c>
      <c r="C113" s="29" t="str">
        <f>IFERROR(__xludf.DUMMYFUNCTION("""COMPUTED_VALUE"""),"")</f>
        <v/>
      </c>
      <c r="D113" s="29" t="str">
        <f>IFERROR(__xludf.DUMMYFUNCTION("""COMPUTED_VALUE"""),"")</f>
        <v/>
      </c>
      <c r="E113" s="29" t="str">
        <f>IFERROR(__xludf.DUMMYFUNCTION("""COMPUTED_VALUE"""),"GENEPIO:0001419")</f>
        <v>GENEPIO:0001419</v>
      </c>
      <c r="F113" s="29" t="str">
        <f>IFERROR(__xludf.DUMMYFUNCTION("""COMPUTED_VALUE"""),"The role of the host in relation to the exposure setting.")</f>
        <v>The role of the host in relation to the exposure setting.</v>
      </c>
      <c r="G113" s="29" t="str">
        <f>IFERROR(__xludf.DUMMYFUNCTION("""COMPUTED_VALUE"""),"Select the host's personal role(s) from the pick list provided in the template. If the desired term is missing, contact the DataHarmonizer curation team.")</f>
        <v>Select the host's personal role(s) from the pick list provided in the template. If the desired term is missing, contact the DataHarmonizer curation team.</v>
      </c>
      <c r="H113" s="29" t="str">
        <f>IFERROR(__xludf.DUMMYFUNCTION("""COMPUTED_VALUE"""),"Acquaintance of case [GENEPIO:0100266]")</f>
        <v>Acquaintance of case [GENEPIO:0100266]</v>
      </c>
      <c r="I113" s="29"/>
      <c r="J113" s="29"/>
      <c r="K113" s="30" t="s">
        <v>19</v>
      </c>
      <c r="L113" s="30" t="s">
        <v>19</v>
      </c>
      <c r="M113" s="30" t="s">
        <v>19</v>
      </c>
      <c r="N113" s="31" t="str">
        <f>IFERROR(__xludf.DUMMYFUNCTION("""COMPUTED_VALUE"""),"Mpox_international")</f>
        <v>Mpox_international</v>
      </c>
    </row>
    <row r="114">
      <c r="A114" s="29" t="str">
        <f>IFERROR(__xludf.DUMMYFUNCTION("""COMPUTED_VALUE"""),"Host exposure information")</f>
        <v>Host exposure information</v>
      </c>
      <c r="B114" s="29" t="str">
        <f>IFERROR(__xludf.DUMMYFUNCTION("""COMPUTED_VALUE"""),"exposure setting")</f>
        <v>exposure setting</v>
      </c>
      <c r="C114" s="29" t="str">
        <f>IFERROR(__xludf.DUMMYFUNCTION("""COMPUTED_VALUE"""),"")</f>
        <v/>
      </c>
      <c r="D114" s="29" t="str">
        <f>IFERROR(__xludf.DUMMYFUNCTION("""COMPUTED_VALUE"""),"")</f>
        <v/>
      </c>
      <c r="E114" s="29" t="str">
        <f>IFERROR(__xludf.DUMMYFUNCTION("""COMPUTED_VALUE"""),"GENEPIO:0001428")</f>
        <v>GENEPIO:0001428</v>
      </c>
      <c r="F114" s="29" t="str">
        <f>IFERROR(__xludf.DUMMYFUNCTION("""COMPUTED_VALUE"""),"The setting leading to exposure.")</f>
        <v>The setting leading to exposure.</v>
      </c>
      <c r="G114"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4" s="29" t="str">
        <f>IFERROR(__xludf.DUMMYFUNCTION("""COMPUTED_VALUE"""),"Healthcare Setting ")</f>
        <v>Healthcare Setting </v>
      </c>
      <c r="I114" s="29"/>
      <c r="J114" s="29"/>
      <c r="K114" s="29"/>
      <c r="L114" s="29"/>
      <c r="M114" s="29"/>
      <c r="N114" s="31" t="str">
        <f>IFERROR(__xludf.DUMMYFUNCTION("""COMPUTED_VALUE"""),"Mpox")</f>
        <v>Mpox</v>
      </c>
    </row>
    <row r="115">
      <c r="A115" s="29" t="str">
        <f>IFERROR(__xludf.DUMMYFUNCTION("""COMPUTED_VALUE"""),"Host exposure information")</f>
        <v>Host exposure information</v>
      </c>
      <c r="B115" s="29" t="str">
        <f>IFERROR(__xludf.DUMMYFUNCTION("""COMPUTED_VALUE"""),"exposure setting")</f>
        <v>exposure setting</v>
      </c>
      <c r="C115" s="29" t="str">
        <f>IFERROR(__xludf.DUMMYFUNCTION("""COMPUTED_VALUE"""),"")</f>
        <v/>
      </c>
      <c r="D115" s="29" t="str">
        <f>IFERROR(__xludf.DUMMYFUNCTION("""COMPUTED_VALUE"""),"")</f>
        <v/>
      </c>
      <c r="E115" s="29" t="str">
        <f>IFERROR(__xludf.DUMMYFUNCTION("""COMPUTED_VALUE"""),"GENEPIO:0001428")</f>
        <v>GENEPIO:0001428</v>
      </c>
      <c r="F115" s="29" t="str">
        <f>IFERROR(__xludf.DUMMYFUNCTION("""COMPUTED_VALUE"""),"The setting leading to exposure.")</f>
        <v>The setting leading to exposure.</v>
      </c>
      <c r="G115" s="29" t="str">
        <f>IFERROR(__xludf.DUMMYFUNCTION("""COMPUTED_VALUE"""),"Select the host exposure setting(s) from the pick list provided in the template. If a desired term is missing, contact the DataHarmonizer curation team.")</f>
        <v>Select the host exposure setting(s) from the pick list provided in the template. If a desired term is missing, contact the DataHarmonizer curation team.</v>
      </c>
      <c r="H115" s="29" t="str">
        <f>IFERROR(__xludf.DUMMYFUNCTION("""COMPUTED_VALUE"""),"Healthcare Setting [GENEPIO:0100201]")</f>
        <v>Healthcare Setting [GENEPIO:0100201]</v>
      </c>
      <c r="I115" s="29"/>
      <c r="J115" s="29"/>
      <c r="K115" s="29"/>
      <c r="L115" s="29"/>
      <c r="M115" s="29"/>
      <c r="N115" s="31" t="str">
        <f>IFERROR(__xludf.DUMMYFUNCTION("""COMPUTED_VALUE"""),"Mpox_international")</f>
        <v>Mpox_international</v>
      </c>
    </row>
    <row r="116">
      <c r="A116" s="29" t="str">
        <f>IFERROR(__xludf.DUMMYFUNCTION("""COMPUTED_VALUE"""),"Host exposure information")</f>
        <v>Host exposure information</v>
      </c>
      <c r="B116" s="29" t="str">
        <f>IFERROR(__xludf.DUMMYFUNCTION("""COMPUTED_VALUE"""),"exposure details")</f>
        <v>exposure details</v>
      </c>
      <c r="C116" s="29" t="str">
        <f>IFERROR(__xludf.DUMMYFUNCTION("""COMPUTED_VALUE"""),"")</f>
        <v/>
      </c>
      <c r="D116" s="29" t="str">
        <f>IFERROR(__xludf.DUMMYFUNCTION("""COMPUTED_VALUE"""),"")</f>
        <v/>
      </c>
      <c r="E116" s="29" t="str">
        <f>IFERROR(__xludf.DUMMYFUNCTION("""COMPUTED_VALUE"""),"GENEPIO:0001431")</f>
        <v>GENEPIO:0001431</v>
      </c>
      <c r="F116" s="29" t="str">
        <f>IFERROR(__xludf.DUMMYFUNCTION("""COMPUTED_VALUE"""),"Additional host exposure information.")</f>
        <v>Additional host exposure information.</v>
      </c>
      <c r="G116" s="29" t="str">
        <f>IFERROR(__xludf.DUMMYFUNCTION("""COMPUTED_VALUE"""),"Free text description of the exposure.")</f>
        <v>Free text description of the exposure.</v>
      </c>
      <c r="H116" s="29" t="str">
        <f>IFERROR(__xludf.DUMMYFUNCTION("""COMPUTED_VALUE"""),"Large party, many contacts")</f>
        <v>Large party, many contacts</v>
      </c>
      <c r="I116" s="29"/>
      <c r="J116" s="29"/>
      <c r="K116" s="30" t="s">
        <v>19</v>
      </c>
      <c r="L116" s="30" t="s">
        <v>19</v>
      </c>
      <c r="M116" s="30" t="s">
        <v>19</v>
      </c>
      <c r="N116" s="31" t="str">
        <f>IFERROR(__xludf.DUMMYFUNCTION("""COMPUTED_VALUE"""),"Mpox;Mpox_international")</f>
        <v>Mpox;Mpox_international</v>
      </c>
    </row>
    <row r="117">
      <c r="A117" s="29"/>
      <c r="B117" s="29"/>
      <c r="C117" s="29"/>
      <c r="D117" s="29"/>
      <c r="E117" s="29"/>
      <c r="F117" s="29"/>
      <c r="G117" s="29"/>
      <c r="H117" s="29"/>
      <c r="I117" s="29"/>
      <c r="J117" s="29"/>
      <c r="K117" s="30"/>
      <c r="L117" s="30"/>
      <c r="M117" s="30"/>
      <c r="N117" s="42"/>
    </row>
    <row r="118">
      <c r="A118" s="29"/>
      <c r="B118" s="29" t="str">
        <f>IFERROR(__xludf.DUMMYFUNCTION("""COMPUTED_VALUE"""),"Host reinfection information")</f>
        <v>Host reinfection information</v>
      </c>
      <c r="C118" s="29" t="str">
        <f>IFERROR(__xludf.DUMMYFUNCTION("""COMPUTED_VALUE"""),"")</f>
        <v/>
      </c>
      <c r="D118" s="29" t="str">
        <f>IFERROR(__xludf.DUMMYFUNCTION("""COMPUTED_VALUE"""),"")</f>
        <v/>
      </c>
      <c r="E118" s="29" t="str">
        <f>IFERROR(__xludf.DUMMYFUNCTION("""COMPUTED_VALUE"""),"GENEPIO:0001434")</f>
        <v>GENEPIO:0001434</v>
      </c>
      <c r="F118" s="29"/>
      <c r="G118" s="29"/>
      <c r="H118" s="29"/>
      <c r="I118" s="29"/>
      <c r="J118" s="29"/>
      <c r="K118" s="30" t="s">
        <v>19</v>
      </c>
      <c r="L118" s="30" t="s">
        <v>19</v>
      </c>
      <c r="M118" s="30" t="s">
        <v>19</v>
      </c>
      <c r="N118" s="31" t="str">
        <f>IFERROR(__xludf.DUMMYFUNCTION("""COMPUTED_VALUE"""),"Mpox;Mpox_international")</f>
        <v>Mpox;Mpox_international</v>
      </c>
    </row>
    <row r="119">
      <c r="A119" s="29" t="str">
        <f>IFERROR(__xludf.DUMMYFUNCTION("""COMPUTED_VALUE"""),"Host reinfection information")</f>
        <v>Host reinfection information</v>
      </c>
      <c r="B119" s="29" t="str">
        <f>IFERROR(__xludf.DUMMYFUNCTION("""COMPUTED_VALUE"""),"prior Mpox infection")</f>
        <v>prior Mpox infection</v>
      </c>
      <c r="C119" s="29"/>
      <c r="D119" s="29"/>
      <c r="E119" s="33" t="str">
        <f>IFERROR(__xludf.DUMMYFUNCTION("""COMPUTED_VALUE"""),"GENEPIO:0100532")</f>
        <v>GENEPIO:0100532</v>
      </c>
      <c r="F119" s="29" t="str">
        <f>IFERROR(__xludf.DUMMYFUNCTION("""COMPUTED_VALUE"""),"The absence or presence of a prior Mpox infection.")</f>
        <v>The absence or presence of a prior Mpox infection.</v>
      </c>
      <c r="G119"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19" s="29" t="str">
        <f>IFERROR(__xludf.DUMMYFUNCTION("""COMPUTED_VALUE"""),"Prior infection ")</f>
        <v>Prior infection </v>
      </c>
      <c r="I119" s="29"/>
      <c r="J119" s="29"/>
      <c r="K119" s="30" t="s">
        <v>19</v>
      </c>
      <c r="L119" s="30" t="s">
        <v>19</v>
      </c>
      <c r="M119" s="30" t="s">
        <v>19</v>
      </c>
      <c r="N119" s="31" t="str">
        <f>IFERROR(__xludf.DUMMYFUNCTION("""COMPUTED_VALUE"""),"Mpox")</f>
        <v>Mpox</v>
      </c>
    </row>
    <row r="120">
      <c r="A120" s="29" t="str">
        <f>IFERROR(__xludf.DUMMYFUNCTION("""COMPUTED_VALUE"""),"Host reinfection information")</f>
        <v>Host reinfection information</v>
      </c>
      <c r="B120" s="29" t="str">
        <f>IFERROR(__xludf.DUMMYFUNCTION("""COMPUTED_VALUE"""),"prior Mpox infection")</f>
        <v>prior Mpox infection</v>
      </c>
      <c r="C120" s="29"/>
      <c r="D120" s="29"/>
      <c r="E120" s="33" t="str">
        <f>IFERROR(__xludf.DUMMYFUNCTION("""COMPUTED_VALUE"""),"GENEPIO:0100532")</f>
        <v>GENEPIO:0100532</v>
      </c>
      <c r="F120" s="29" t="str">
        <f>IFERROR(__xludf.DUMMYFUNCTION("""COMPUTED_VALUE"""),"The absence or presence of a prior Mpox infection.")</f>
        <v>The absence or presence of a prior Mpox infection.</v>
      </c>
      <c r="G120" s="29" t="str">
        <f>IFERROR(__xludf.DUMMYFUNCTION("""COMPUTED_VALUE"""),"If known, provide information about whether the individual had a previous Mpox infection. Select a value from the pick list.")</f>
        <v>If known, provide information about whether the individual had a previous Mpox infection. Select a value from the pick list.</v>
      </c>
      <c r="H120" s="29" t="str">
        <f>IFERROR(__xludf.DUMMYFUNCTION("""COMPUTED_VALUE"""),"Prior infection [GENEPIO:0100037]")</f>
        <v>Prior infection [GENEPIO:0100037]</v>
      </c>
      <c r="I120" s="29"/>
      <c r="J120" s="29"/>
      <c r="K120" s="30" t="s">
        <v>19</v>
      </c>
      <c r="L120" s="30" t="s">
        <v>19</v>
      </c>
      <c r="M120" s="30" t="s">
        <v>19</v>
      </c>
      <c r="N120" s="31" t="str">
        <f>IFERROR(__xludf.DUMMYFUNCTION("""COMPUTED_VALUE"""),"Mpox_international")</f>
        <v>Mpox_international</v>
      </c>
    </row>
    <row r="121">
      <c r="A121" s="29" t="str">
        <f>IFERROR(__xludf.DUMMYFUNCTION("""COMPUTED_VALUE"""),"Host reinfection information")</f>
        <v>Host reinfection information</v>
      </c>
      <c r="B121" s="29" t="str">
        <f>IFERROR(__xludf.DUMMYFUNCTION("""COMPUTED_VALUE"""),"prior Mpox infection date")</f>
        <v>prior Mpox infection date</v>
      </c>
      <c r="C121" s="29"/>
      <c r="D121" s="29"/>
      <c r="E121" s="33" t="str">
        <f>IFERROR(__xludf.DUMMYFUNCTION("""COMPUTED_VALUE"""),"GENEPIO:0100533")</f>
        <v>GENEPIO:0100533</v>
      </c>
      <c r="F121" s="29" t="str">
        <f>IFERROR(__xludf.DUMMYFUNCTION("""COMPUTED_VALUE"""),"The date of diagnosis of the prior Mpox infection.")</f>
        <v>The date of diagnosis of the prior Mpox infection.</v>
      </c>
      <c r="G121" s="29" t="str">
        <f>IFERROR(__xludf.DUMMYFUNCTION("""COMPUTED_VALUE"""),"Provide the date that the most recent prior infection was diagnosed. Provide the prior Mpox infection date in ISO 8601 standard format ""YYYY-MM-DD"".")</f>
        <v>Provide the date that the most recent prior infection was diagnosed. Provide the prior Mpox infection date in ISO 8601 standard format "YYYY-MM-DD".</v>
      </c>
      <c r="H121" s="37">
        <f>IFERROR(__xludf.DUMMYFUNCTION("""COMPUTED_VALUE"""),44732.0)</f>
        <v>44732</v>
      </c>
      <c r="I121" s="29"/>
      <c r="J121" s="29"/>
      <c r="K121" s="30" t="s">
        <v>19</v>
      </c>
      <c r="L121" s="30" t="s">
        <v>19</v>
      </c>
      <c r="M121" s="30" t="s">
        <v>19</v>
      </c>
      <c r="N121" s="31" t="str">
        <f>IFERROR(__xludf.DUMMYFUNCTION("""COMPUTED_VALUE"""),"Mpox;Mpox_international")</f>
        <v>Mpox;Mpox_international</v>
      </c>
    </row>
    <row r="122">
      <c r="A122" s="29" t="str">
        <f>IFERROR(__xludf.DUMMYFUNCTION("""COMPUTED_VALUE"""),"Host reinfection information")</f>
        <v>Host reinfection information</v>
      </c>
      <c r="B122" s="29" t="str">
        <f>IFERROR(__xludf.DUMMYFUNCTION("""COMPUTED_VALUE"""),"prior Mpox antiviral treatment")</f>
        <v>prior Mpox antiviral treatment</v>
      </c>
      <c r="C122" s="29"/>
      <c r="D122" s="29"/>
      <c r="E122" s="33" t="str">
        <f>IFERROR(__xludf.DUMMYFUNCTION("""COMPUTED_VALUE"""),"GENEPIO:0100534")</f>
        <v>GENEPIO:0100534</v>
      </c>
      <c r="F122" s="29" t="str">
        <f>IFERROR(__xludf.DUMMYFUNCTION("""COMPUTED_VALUE"""),"The absence or presence of antiviral treatment for a prior Mpox infection.")</f>
        <v>The absence or presence of antiviral treatment for a prior Mpox infection.</v>
      </c>
      <c r="G122"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2" s="29" t="str">
        <f>IFERROR(__xludf.DUMMYFUNCTION("""COMPUTED_VALUE"""),"Prior antiviral treatment ")</f>
        <v>Prior antiviral treatment </v>
      </c>
      <c r="I122" s="29"/>
      <c r="J122" s="29"/>
      <c r="K122" s="30" t="s">
        <v>19</v>
      </c>
      <c r="L122" s="30" t="s">
        <v>19</v>
      </c>
      <c r="M122" s="30" t="s">
        <v>19</v>
      </c>
      <c r="N122" s="31" t="str">
        <f>IFERROR(__xludf.DUMMYFUNCTION("""COMPUTED_VALUE"""),"Mpox")</f>
        <v>Mpox</v>
      </c>
    </row>
    <row r="123">
      <c r="A123" s="29" t="str">
        <f>IFERROR(__xludf.DUMMYFUNCTION("""COMPUTED_VALUE"""),"Host reinfection information")</f>
        <v>Host reinfection information</v>
      </c>
      <c r="B123" s="29" t="str">
        <f>IFERROR(__xludf.DUMMYFUNCTION("""COMPUTED_VALUE"""),"prior Mpox antiviral treatment")</f>
        <v>prior Mpox antiviral treatment</v>
      </c>
      <c r="C123" s="29"/>
      <c r="D123" s="29"/>
      <c r="E123" s="33" t="str">
        <f>IFERROR(__xludf.DUMMYFUNCTION("""COMPUTED_VALUE"""),"GENEPIO:0100534")</f>
        <v>GENEPIO:0100534</v>
      </c>
      <c r="F123" s="29" t="str">
        <f>IFERROR(__xludf.DUMMYFUNCTION("""COMPUTED_VALUE"""),"The absence or presence of antiviral treatment for a prior Mpox infection.")</f>
        <v>The absence or presence of antiviral treatment for a prior Mpox infection.</v>
      </c>
      <c r="G123" s="29" t="str">
        <f>IFERROR(__xludf.DUMMYFUNCTION("""COMPUTED_VALUE"""),"If known, provide information about whether the individual had a previous Mpox antiviral treatment. Select a value from the pick list.")</f>
        <v>If known, provide information about whether the individual had a previous Mpox antiviral treatment. Select a value from the pick list.</v>
      </c>
      <c r="H123" s="29" t="str">
        <f>IFERROR(__xludf.DUMMYFUNCTION("""COMPUTED_VALUE"""),"Prior antiviral treatment [GENEPIO:0100037]")</f>
        <v>Prior antiviral treatment [GENEPIO:0100037]</v>
      </c>
      <c r="I123" s="29"/>
      <c r="J123" s="29"/>
      <c r="K123" s="30" t="s">
        <v>19</v>
      </c>
      <c r="L123" s="30" t="s">
        <v>19</v>
      </c>
      <c r="M123" s="30" t="s">
        <v>19</v>
      </c>
      <c r="N123" s="31" t="str">
        <f>IFERROR(__xludf.DUMMYFUNCTION("""COMPUTED_VALUE"""),"Mpox_international")</f>
        <v>Mpox_international</v>
      </c>
    </row>
    <row r="124">
      <c r="A124" s="29" t="str">
        <f>IFERROR(__xludf.DUMMYFUNCTION("""COMPUTED_VALUE"""),"Host reinfection information")</f>
        <v>Host reinfection information</v>
      </c>
      <c r="B124" s="29" t="str">
        <f>IFERROR(__xludf.DUMMYFUNCTION("""COMPUTED_VALUE"""),"prior antiviral treatment during prior Mpox infection")</f>
        <v>prior antiviral treatment during prior Mpox infection</v>
      </c>
      <c r="C124" s="29"/>
      <c r="D124" s="29"/>
      <c r="E124" s="33" t="str">
        <f>IFERROR(__xludf.DUMMYFUNCTION("""COMPUTED_VALUE"""),"GENEPIO:0100535")</f>
        <v>GENEPIO:0100535</v>
      </c>
      <c r="F124" s="29" t="str">
        <f>IFERROR(__xludf.DUMMYFUNCTION("""COMPUTED_VALUE"""),"Antiviral treatment for any infection during the prior Mpox infection period.")</f>
        <v>Antiviral treatment for any infection during the prior Mpox infection period.</v>
      </c>
      <c r="G124" s="29" t="str">
        <f>IFERROR(__xludf.DUMMYFUNCTION("""COMPUTED_VALUE"""),"Provide a description of any antiviral treatment administered for viral infections (not including Mpox treatment) during the prior Mpox infection period. This field is meant to capture concurrent treatment information.")</f>
        <v>Provide a description of any antiviral treatment administered for viral infections (not including Mpox treatment) during the prior Mpox infection period. This field is meant to capture concurrent treatment information.</v>
      </c>
      <c r="H124" s="29" t="str">
        <f>IFERROR(__xludf.DUMMYFUNCTION("""COMPUTED_VALUE"""),"AZT was administered for HIV infection during the prior Mpox infection.")</f>
        <v>AZT was administered for HIV infection during the prior Mpox infection.</v>
      </c>
      <c r="I124" s="29"/>
      <c r="J124" s="29"/>
      <c r="K124" s="30" t="s">
        <v>19</v>
      </c>
      <c r="L124" s="30" t="s">
        <v>19</v>
      </c>
      <c r="M124" s="30" t="s">
        <v>19</v>
      </c>
      <c r="N124" s="31" t="str">
        <f>IFERROR(__xludf.DUMMYFUNCTION("""COMPUTED_VALUE"""),"Mpox;Mpox_international")</f>
        <v>Mpox;Mpox_international</v>
      </c>
    </row>
    <row r="125">
      <c r="A125" s="29"/>
      <c r="B125" s="29"/>
      <c r="C125" s="29"/>
      <c r="D125" s="29"/>
      <c r="E125" s="29"/>
      <c r="F125" s="29"/>
      <c r="G125" s="29"/>
      <c r="H125" s="29"/>
      <c r="I125" s="29"/>
      <c r="J125" s="29"/>
      <c r="K125" s="30" t="s">
        <v>19</v>
      </c>
      <c r="L125" s="30" t="s">
        <v>19</v>
      </c>
      <c r="M125" s="30" t="s">
        <v>19</v>
      </c>
      <c r="N125" s="40"/>
    </row>
    <row r="126">
      <c r="A126" s="29"/>
      <c r="B126" s="29"/>
      <c r="C126" s="29"/>
      <c r="D126" s="29"/>
      <c r="E126" s="29"/>
      <c r="F126" s="29"/>
      <c r="G126" s="29"/>
      <c r="H126" s="29"/>
      <c r="I126" s="29"/>
      <c r="J126" s="29"/>
      <c r="K126" s="30" t="s">
        <v>19</v>
      </c>
      <c r="L126" s="30" t="s">
        <v>19</v>
      </c>
      <c r="M126" s="30" t="s">
        <v>19</v>
      </c>
      <c r="N126" s="40"/>
    </row>
    <row r="127">
      <c r="A127" s="29"/>
      <c r="B127" s="29" t="str">
        <f>IFERROR(__xludf.DUMMYFUNCTION("""COMPUTED_VALUE"""),"Sequencing")</f>
        <v>Sequencing</v>
      </c>
      <c r="C127" s="29" t="str">
        <f>IFERROR(__xludf.DUMMYFUNCTION("""COMPUTED_VALUE"""),"")</f>
        <v/>
      </c>
      <c r="D127" s="29" t="str">
        <f>IFERROR(__xludf.DUMMYFUNCTION("""COMPUTED_VALUE"""),"")</f>
        <v/>
      </c>
      <c r="E127" s="29" t="str">
        <f>IFERROR(__xludf.DUMMYFUNCTION("""COMPUTED_VALUE"""),"GENEPIO:0001441")</f>
        <v>GENEPIO:0001441</v>
      </c>
      <c r="F127" s="29"/>
      <c r="G127" s="29"/>
      <c r="H127" s="29"/>
      <c r="I127" s="29"/>
      <c r="J127" s="29"/>
      <c r="K127" s="30" t="s">
        <v>19</v>
      </c>
      <c r="L127" s="30" t="s">
        <v>19</v>
      </c>
      <c r="M127" s="30" t="s">
        <v>19</v>
      </c>
      <c r="N127" s="31" t="str">
        <f>IFERROR(__xludf.DUMMYFUNCTION("""COMPUTED_VALUE"""),"Mpox;Mpox_international")</f>
        <v>Mpox;Mpox_international</v>
      </c>
    </row>
    <row r="128">
      <c r="A128" s="29" t="str">
        <f>IFERROR(__xludf.DUMMYFUNCTION("""COMPUTED_VALUE"""),"Sequence information")</f>
        <v>Sequence information</v>
      </c>
      <c r="B128" s="29" t="str">
        <f>IFERROR(__xludf.DUMMYFUNCTION("""COMPUTED_VALUE"""),"sequencing project name")</f>
        <v>sequencing project name</v>
      </c>
      <c r="C128" s="29"/>
      <c r="D128" s="29"/>
      <c r="E128" s="29" t="str">
        <f>IFERROR(__xludf.DUMMYFUNCTION("""COMPUTED_VALUE"""),"GENEPIO:0100472")</f>
        <v>GENEPIO:0100472</v>
      </c>
      <c r="F128" s="29" t="str">
        <f>IFERROR(__xludf.DUMMYFUNCTION("""COMPUTED_VALUE"""),"The name of the project/initiative/program for which sequencing was performed.")</f>
        <v>The name of the project/initiative/program for which sequencing was performed.</v>
      </c>
      <c r="G128" s="29" t="str">
        <f>IFERROR(__xludf.DUMMYFUNCTION("""COMPUTED_VALUE"""),"Provide the name of the project and/or the project ID here. If the information is unknown or cannot be provided, leave blank or provide a null value.")</f>
        <v>Provide the name of the project and/or the project ID here. If the information is unknown or cannot be provided, leave blank or provide a null value.</v>
      </c>
      <c r="H128" s="29" t="str">
        <f>IFERROR(__xludf.DUMMYFUNCTION("""COMPUTED_VALUE"""),"MPOX-1356")</f>
        <v>MPOX-1356</v>
      </c>
      <c r="I128" s="29"/>
      <c r="J128" s="29"/>
      <c r="K128" s="30" t="s">
        <v>19</v>
      </c>
      <c r="L128" s="30" t="s">
        <v>19</v>
      </c>
      <c r="M128" s="30" t="s">
        <v>19</v>
      </c>
      <c r="N128" s="31" t="str">
        <f>IFERROR(__xludf.DUMMYFUNCTION("""COMPUTED_VALUE"""),"Mpox;Mpox_international")</f>
        <v>Mpox;Mpox_international</v>
      </c>
    </row>
    <row r="129">
      <c r="A129" s="29" t="str">
        <f>IFERROR(__xludf.DUMMYFUNCTION("""COMPUTED_VALUE"""),"Sequencing")</f>
        <v>Sequencing</v>
      </c>
      <c r="B129" s="29" t="str">
        <f>IFERROR(__xludf.DUMMYFUNCTION("""COMPUTED_VALUE"""),"sequenced by")</f>
        <v>sequenced by</v>
      </c>
      <c r="C129" s="29" t="b">
        <f>IFERROR(__xludf.DUMMYFUNCTION("""COMPUTED_VALUE"""),TRUE)</f>
        <v>1</v>
      </c>
      <c r="D129" s="29"/>
      <c r="E129" s="29" t="str">
        <f>IFERROR(__xludf.DUMMYFUNCTION("""COMPUTED_VALUE"""),"GENEPIO:0100416")</f>
        <v>GENEPIO:0100416</v>
      </c>
      <c r="F129" s="29" t="str">
        <f>IFERROR(__xludf.DUMMYFUNCTION("""COMPUTED_VALUE"""),"The name of the agency that generated the sequence.")</f>
        <v>The name of the agency that generated the sequence.</v>
      </c>
      <c r="G129"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29" s="29" t="str">
        <f>IFERROR(__xludf.DUMMYFUNCTION("""COMPUTED_VALUE"""),"Public Health Ontario (PHO)")</f>
        <v>Public Health Ontario (PHO)</v>
      </c>
      <c r="I129" s="29"/>
      <c r="J129" s="29"/>
      <c r="K129" s="30" t="s">
        <v>19</v>
      </c>
      <c r="L129" s="30" t="s">
        <v>19</v>
      </c>
      <c r="M129" s="30" t="s">
        <v>19</v>
      </c>
      <c r="N129" s="31" t="str">
        <f>IFERROR(__xludf.DUMMYFUNCTION("""COMPUTED_VALUE"""),"Mpox")</f>
        <v>Mpox</v>
      </c>
    </row>
    <row r="130">
      <c r="A130" s="29" t="str">
        <f>IFERROR(__xludf.DUMMYFUNCTION("""COMPUTED_VALUE"""),"Sequencing")</f>
        <v>Sequencing</v>
      </c>
      <c r="B130" s="29" t="str">
        <f>IFERROR(__xludf.DUMMYFUNCTION("""COMPUTED_VALUE"""),"sequenced by")</f>
        <v>sequenced by</v>
      </c>
      <c r="C130" s="29" t="b">
        <f>IFERROR(__xludf.DUMMYFUNCTION("""COMPUTED_VALUE"""),TRUE)</f>
        <v>1</v>
      </c>
      <c r="D130" s="29"/>
      <c r="E130" s="29" t="str">
        <f>IFERROR(__xludf.DUMMYFUNCTION("""COMPUTED_VALUE"""),"GENEPIO:0100416")</f>
        <v>GENEPIO:0100416</v>
      </c>
      <c r="F130" s="29" t="str">
        <f>IFERROR(__xludf.DUMMYFUNCTION("""COMPUTED_VALUE"""),"The name of the agency that generated the sequence.")</f>
        <v>The name of the agency that generated the sequence.</v>
      </c>
      <c r="G130" s="29" t="str">
        <f>IFERROR(__xludf.DUMMYFUNCTION("""COMPUTED_VALUE"""),"The name of the agency should be written out in full, (with minor exceptions) and be consistent across multiple submissions. ")</f>
        <v>The name of the agency should be written out in full, (with minor exceptions) and be consistent across multiple submissions. </v>
      </c>
      <c r="H130" s="29" t="str">
        <f>IFERROR(__xludf.DUMMYFUNCTION("""COMPUTED_VALUE"""),"Public Health Ontario (PHO)")</f>
        <v>Public Health Ontario (PHO)</v>
      </c>
      <c r="I130" s="29"/>
      <c r="J130" s="29"/>
      <c r="K130" s="30" t="s">
        <v>19</v>
      </c>
      <c r="L130" s="30" t="s">
        <v>19</v>
      </c>
      <c r="M130" s="30" t="s">
        <v>19</v>
      </c>
      <c r="N130" s="31" t="str">
        <f>IFERROR(__xludf.DUMMYFUNCTION("""COMPUTED_VALUE"""),"Mpox_international")</f>
        <v>Mpox_international</v>
      </c>
    </row>
    <row r="131">
      <c r="A131" s="29" t="str">
        <f>IFERROR(__xludf.DUMMYFUNCTION("""COMPUTED_VALUE"""),"Sequence information")</f>
        <v>Sequence information</v>
      </c>
      <c r="B131" s="29" t="str">
        <f>IFERROR(__xludf.DUMMYFUNCTION("""COMPUTED_VALUE"""),"sequenced by laboratory name")</f>
        <v>sequenced by laboratory name</v>
      </c>
      <c r="C131" s="29"/>
      <c r="D131" s="29"/>
      <c r="E131" s="29" t="str">
        <f>IFERROR(__xludf.DUMMYFUNCTION("""COMPUTED_VALUE"""),"GENEPIO:0100470")</f>
        <v>GENEPIO:0100470</v>
      </c>
      <c r="F131" s="29" t="str">
        <f>IFERROR(__xludf.DUMMYFUNCTION("""COMPUTED_VALUE"""),"The specific laboratory affiliation of the responsible for sequencing the isolate's genome.")</f>
        <v>The specific laboratory affiliation of the responsible for sequencing the isolate's genome.</v>
      </c>
      <c r="G131" s="29" t="str">
        <f>IFERROR(__xludf.DUMMYFUNCTION("""COMPUTED_VALUE"""),"Provide the name of the specific laboratory that that performed the sequencing in full (avoid abbreviations). If the information is unknown or cannot be provided, leave blank or provide a null value.")</f>
        <v>Provide the name of the specific laboratory that that performed the sequencing in full (avoid abbreviations). If the information is unknown or cannot be provided, leave blank or provide a null value.</v>
      </c>
      <c r="H131" s="29" t="str">
        <f>IFERROR(__xludf.DUMMYFUNCTION("""COMPUTED_VALUE"""),"Topp Lab")</f>
        <v>Topp Lab</v>
      </c>
      <c r="I131" s="29"/>
      <c r="J131" s="29"/>
      <c r="K131" s="30" t="s">
        <v>19</v>
      </c>
      <c r="L131" s="30" t="s">
        <v>19</v>
      </c>
      <c r="M131" s="30" t="s">
        <v>19</v>
      </c>
      <c r="N131" s="31" t="str">
        <f>IFERROR(__xludf.DUMMYFUNCTION("""COMPUTED_VALUE"""),"Mpox")</f>
        <v>Mpox</v>
      </c>
    </row>
    <row r="132">
      <c r="A132" s="29" t="str">
        <f>IFERROR(__xludf.DUMMYFUNCTION("""COMPUTED_VALUE"""),"Sequence information")</f>
        <v>Sequence information</v>
      </c>
      <c r="B132" s="29" t="str">
        <f>IFERROR(__xludf.DUMMYFUNCTION("""COMPUTED_VALUE"""),"sequenced by contact name")</f>
        <v>sequenced by contact name</v>
      </c>
      <c r="C132" s="29" t="b">
        <f>IFERROR(__xludf.DUMMYFUNCTION("""COMPUTED_VALUE"""),TRUE)</f>
        <v>1</v>
      </c>
      <c r="D132" s="29"/>
      <c r="E132" s="29" t="str">
        <f>IFERROR(__xludf.DUMMYFUNCTION("""COMPUTED_VALUE"""),"GENEPIO:0100471")</f>
        <v>GENEPIO:0100471</v>
      </c>
      <c r="F132" s="29" t="str">
        <f>IFERROR(__xludf.DUMMYFUNCTION("""COMPUTED_VALUE"""),"The name or title of the contact responsible for follow-up regarding the sequence.")</f>
        <v>The name or title of the contact responsible for follow-up regarding the sequence.</v>
      </c>
      <c r="G132" s="29" t="str">
        <f>IFERROR(__xludf.DUMMYFUNCTION("""COMPUTED_VALUE"""),"Provide the name of an individual or their job title. As personnel turnover may render the contact's name obsolete, it is more prefereable to provide a job title for ensuring accuracy of information and institutional memory. If the information is unknown "&amp;"or cannot be provided, leave blank or provide a null value.")</f>
        <v>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v>
      </c>
      <c r="H132" s="29" t="str">
        <f>IFERROR(__xludf.DUMMYFUNCTION("""COMPUTED_VALUE"""),"Joe Bloggs, Enterics Lab Manager")</f>
        <v>Joe Bloggs, Enterics Lab Manager</v>
      </c>
      <c r="I132" s="29"/>
      <c r="J132" s="29"/>
      <c r="K132" s="30" t="s">
        <v>19</v>
      </c>
      <c r="L132" s="30" t="s">
        <v>19</v>
      </c>
      <c r="M132" s="30" t="s">
        <v>19</v>
      </c>
      <c r="N132" s="31" t="str">
        <f>IFERROR(__xludf.DUMMYFUNCTION("""COMPUTED_VALUE"""),"Mpox_international")</f>
        <v>Mpox_international</v>
      </c>
    </row>
    <row r="133">
      <c r="A133" s="29" t="str">
        <f>IFERROR(__xludf.DUMMYFUNCTION("""COMPUTED_VALUE"""),"Sequencing")</f>
        <v>Sequencing</v>
      </c>
      <c r="B133" s="29" t="str">
        <f>IFERROR(__xludf.DUMMYFUNCTION("""COMPUTED_VALUE"""),"sequenced by contact email")</f>
        <v>sequenced by contact email</v>
      </c>
      <c r="C133" s="29"/>
      <c r="D133" s="29"/>
      <c r="E133" s="29" t="str">
        <f>IFERROR(__xludf.DUMMYFUNCTION("""COMPUTED_VALUE"""),"GENEPIO:0100422")</f>
        <v>GENEPIO:0100422</v>
      </c>
      <c r="F133" s="29" t="str">
        <f>IFERROR(__xludf.DUMMYFUNCTION("""COMPUTED_VALUE"""),"The email address of the contact responsible for follow-up regarding the sequence.")</f>
        <v>The email address of the contact responsible for follow-up regarding the sequence.</v>
      </c>
      <c r="G133" s="29" t="str">
        <f>IFERROR(__xludf.DUMMYFUNCTION("""COMPUTED_VALUE"""),"The email address can represent a specific individual or lab e.g. johnnyblogs@lab.ca, or RespLab@lab.ca")</f>
        <v>The email address can represent a specific individual or lab e.g. johnnyblogs@lab.ca, or RespLab@lab.ca</v>
      </c>
      <c r="H133" s="29" t="str">
        <f>IFERROR(__xludf.DUMMYFUNCTION("""COMPUTED_VALUE"""),"RespLab@lab.ca")</f>
        <v>RespLab@lab.ca</v>
      </c>
      <c r="I133" s="29"/>
      <c r="J133" s="29"/>
      <c r="K133" s="30" t="s">
        <v>19</v>
      </c>
      <c r="L133" s="30" t="s">
        <v>19</v>
      </c>
      <c r="M133" s="30" t="s">
        <v>19</v>
      </c>
      <c r="N133" s="31" t="str">
        <f>IFERROR(__xludf.DUMMYFUNCTION("""COMPUTED_VALUE"""),"Mpox;Mpox_international")</f>
        <v>Mpox;Mpox_international</v>
      </c>
    </row>
    <row r="134">
      <c r="A134" s="29" t="str">
        <f>IFERROR(__xludf.DUMMYFUNCTION("""COMPUTED_VALUE"""),"Sequencing")</f>
        <v>Sequencing</v>
      </c>
      <c r="B134" s="29" t="str">
        <f>IFERROR(__xludf.DUMMYFUNCTION("""COMPUTED_VALUE"""),"sequenced by contact address")</f>
        <v>sequenced by contact address</v>
      </c>
      <c r="C134" s="29"/>
      <c r="D134" s="29"/>
      <c r="E134" s="29" t="str">
        <f>IFERROR(__xludf.DUMMYFUNCTION("""COMPUTED_VALUE"""),"GENEPIO:0100423")</f>
        <v>GENEPIO:0100423</v>
      </c>
      <c r="F134" s="29" t="str">
        <f>IFERROR(__xludf.DUMMYFUNCTION("""COMPUTED_VALUE"""),"The mailing address of the agency submitting the sequence.")</f>
        <v>The mailing address of the agency submitting the sequence.</v>
      </c>
      <c r="G134"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34" s="29" t="str">
        <f>IFERROR(__xludf.DUMMYFUNCTION("""COMPUTED_VALUE"""),"123 Sunnybrooke St, Toronto, Ontario, M4P 1L6, Canada")</f>
        <v>123 Sunnybrooke St, Toronto, Ontario, M4P 1L6, Canada</v>
      </c>
      <c r="I134" s="29"/>
      <c r="J134" s="29"/>
      <c r="K134" s="30" t="s">
        <v>19</v>
      </c>
      <c r="L134" s="30" t="s">
        <v>19</v>
      </c>
      <c r="M134" s="30" t="s">
        <v>19</v>
      </c>
      <c r="N134" s="31" t="str">
        <f>IFERROR(__xludf.DUMMYFUNCTION("""COMPUTED_VALUE"""),"Mpox;Mpox_international")</f>
        <v>Mpox;Mpox_international</v>
      </c>
    </row>
    <row r="135">
      <c r="A135" s="29" t="str">
        <f>IFERROR(__xludf.DUMMYFUNCTION("""COMPUTED_VALUE"""),"Sequencing")</f>
        <v>Sequencing</v>
      </c>
      <c r="B135" s="29" t="str">
        <f>IFERROR(__xludf.DUMMYFUNCTION("""COMPUTED_VALUE"""),"sequence submitted by")</f>
        <v>sequence submitted by</v>
      </c>
      <c r="C135" s="29" t="b">
        <f>IFERROR(__xludf.DUMMYFUNCTION("""COMPUTED_VALUE"""),TRUE)</f>
        <v>1</v>
      </c>
      <c r="D135" s="29" t="str">
        <f>IFERROR(__xludf.DUMMYFUNCTION("""COMPUTED_VALUE"""),"")</f>
        <v/>
      </c>
      <c r="E135" s="29" t="str">
        <f>IFERROR(__xludf.DUMMYFUNCTION("""COMPUTED_VALUE"""),"GENEPIO:0001159")</f>
        <v>GENEPIO:0001159</v>
      </c>
      <c r="F135" s="29" t="str">
        <f>IFERROR(__xludf.DUMMYFUNCTION("""COMPUTED_VALUE"""),"The name of the agency that submitted the sequence to a database.")</f>
        <v>The name of the agency that submitted the sequence to a database.</v>
      </c>
      <c r="G135"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5" s="29" t="str">
        <f>IFERROR(__xludf.DUMMYFUNCTION("""COMPUTED_VALUE"""),"Public Health Ontario (PHO)")</f>
        <v>Public Health Ontario (PHO)</v>
      </c>
      <c r="I135" s="29"/>
      <c r="J135" s="29"/>
      <c r="K135" s="30" t="s">
        <v>19</v>
      </c>
      <c r="L135" s="30" t="s">
        <v>19</v>
      </c>
      <c r="M135" s="30" t="s">
        <v>19</v>
      </c>
      <c r="N135" s="31" t="str">
        <f>IFERROR(__xludf.DUMMYFUNCTION("""COMPUTED_VALUE"""),"Mpox")</f>
        <v>Mpox</v>
      </c>
    </row>
    <row r="136">
      <c r="A136" s="29" t="str">
        <f>IFERROR(__xludf.DUMMYFUNCTION("""COMPUTED_VALUE"""),"Sequencing")</f>
        <v>Sequencing</v>
      </c>
      <c r="B136" s="29" t="str">
        <f>IFERROR(__xludf.DUMMYFUNCTION("""COMPUTED_VALUE"""),"sequence submitted by")</f>
        <v>sequence submitted by</v>
      </c>
      <c r="C136" s="29" t="b">
        <f>IFERROR(__xludf.DUMMYFUNCTION("""COMPUTED_VALUE"""),TRUE)</f>
        <v>1</v>
      </c>
      <c r="D136" s="29"/>
      <c r="E136" s="29" t="str">
        <f>IFERROR(__xludf.DUMMYFUNCTION("""COMPUTED_VALUE"""),"GENEPIO:0001159")</f>
        <v>GENEPIO:0001159</v>
      </c>
      <c r="F136" s="29" t="str">
        <f>IFERROR(__xludf.DUMMYFUNCTION("""COMPUTED_VALUE"""),"The name of the agency that submitted the sequence to a database.")</f>
        <v>The name of the agency that submitted the sequence to a database.</v>
      </c>
      <c r="G136" s="29" t="str">
        <f>IFERROR(__xludf.DUMMYFUNCTION("""COMPUTED_VALUE"""),"The name of the agency should be written out in full, (with minor exceptions) and be consistent across multiple submissions. If submitting specimens rather than sequencing data, please put the ""National Microbiology Laboratory (NML)"".")</f>
        <v>The name of the agency should be written out in full, (with minor exceptions) and be consistent across multiple submissions. If submitting specimens rather than sequencing data, please put the "National Microbiology Laboratory (NML)".</v>
      </c>
      <c r="H136" s="29" t="str">
        <f>IFERROR(__xludf.DUMMYFUNCTION("""COMPUTED_VALUE"""),"Public Health Ontario (PHO)")</f>
        <v>Public Health Ontario (PHO)</v>
      </c>
      <c r="I136" s="29"/>
      <c r="J136" s="29"/>
      <c r="K136" s="30" t="s">
        <v>19</v>
      </c>
      <c r="L136" s="30" t="s">
        <v>19</v>
      </c>
      <c r="M136" s="30" t="s">
        <v>19</v>
      </c>
      <c r="N136" s="31" t="str">
        <f>IFERROR(__xludf.DUMMYFUNCTION("""COMPUTED_VALUE"""),"Mpox_international")</f>
        <v>Mpox_international</v>
      </c>
    </row>
    <row r="137">
      <c r="A137" s="29" t="str">
        <f>IFERROR(__xludf.DUMMYFUNCTION("""COMPUTED_VALUE"""),"Sequencing")</f>
        <v>Sequencing</v>
      </c>
      <c r="B137" s="29" t="str">
        <f>IFERROR(__xludf.DUMMYFUNCTION("""COMPUTED_VALUE"""),"sequence submitter contact email")</f>
        <v>sequence submitter contact email</v>
      </c>
      <c r="C137" s="29" t="str">
        <f>IFERROR(__xludf.DUMMYFUNCTION("""COMPUTED_VALUE"""),"")</f>
        <v/>
      </c>
      <c r="D137" s="29" t="str">
        <f>IFERROR(__xludf.DUMMYFUNCTION("""COMPUTED_VALUE"""),"")</f>
        <v/>
      </c>
      <c r="E137" s="29" t="str">
        <f>IFERROR(__xludf.DUMMYFUNCTION("""COMPUTED_VALUE"""),"GENEPIO:0001165")</f>
        <v>GENEPIO:0001165</v>
      </c>
      <c r="F137" s="29" t="str">
        <f>IFERROR(__xludf.DUMMYFUNCTION("""COMPUTED_VALUE"""),"The email address of the agency responsible for submission of the sequence.")</f>
        <v>The email address of the agency responsible for submission of the sequence.</v>
      </c>
      <c r="G137" s="29" t="str">
        <f>IFERROR(__xludf.DUMMYFUNCTION("""COMPUTED_VALUE"""),"The email address can represent a specific individual or lab e.g. johnnyblogs@lab.ca, or RespLab@lab.ca")</f>
        <v>The email address can represent a specific individual or lab e.g. johnnyblogs@lab.ca, or RespLab@lab.ca</v>
      </c>
      <c r="H137" s="29" t="str">
        <f>IFERROR(__xludf.DUMMYFUNCTION("""COMPUTED_VALUE"""),"RespLab@lab.ca")</f>
        <v>RespLab@lab.ca</v>
      </c>
      <c r="I137" s="29"/>
      <c r="J137" s="29"/>
      <c r="K137" s="30" t="s">
        <v>19</v>
      </c>
      <c r="L137" s="30" t="s">
        <v>19</v>
      </c>
      <c r="M137" s="30" t="s">
        <v>19</v>
      </c>
      <c r="N137" s="31" t="str">
        <f>IFERROR(__xludf.DUMMYFUNCTION("""COMPUTED_VALUE"""),"Mpox;Mpox_international")</f>
        <v>Mpox;Mpox_international</v>
      </c>
    </row>
    <row r="138">
      <c r="A138" s="29" t="str">
        <f>IFERROR(__xludf.DUMMYFUNCTION("""COMPUTED_VALUE"""),"Sequencing")</f>
        <v>Sequencing</v>
      </c>
      <c r="B138" s="29" t="str">
        <f>IFERROR(__xludf.DUMMYFUNCTION("""COMPUTED_VALUE"""),"sequence submitter contact address")</f>
        <v>sequence submitter contact address</v>
      </c>
      <c r="C138" s="29" t="str">
        <f>IFERROR(__xludf.DUMMYFUNCTION("""COMPUTED_VALUE"""),"")</f>
        <v/>
      </c>
      <c r="D138" s="29" t="str">
        <f>IFERROR(__xludf.DUMMYFUNCTION("""COMPUTED_VALUE"""),"")</f>
        <v/>
      </c>
      <c r="E138" s="29" t="str">
        <f>IFERROR(__xludf.DUMMYFUNCTION("""COMPUTED_VALUE"""),"GENEPIO:0001167")</f>
        <v>GENEPIO:0001167</v>
      </c>
      <c r="F138" s="29" t="str">
        <f>IFERROR(__xludf.DUMMYFUNCTION("""COMPUTED_VALUE"""),"The mailing address of the agency responsible for submission of the sequence.")</f>
        <v>The mailing address of the agency responsible for submission of the sequence.</v>
      </c>
      <c r="G138" s="29" t="str">
        <f>IFERROR(__xludf.DUMMYFUNCTION("""COMPUTED_VALUE"""),"The mailing address should be in the format: Street number and name, City, Province/Territory, Postal Code, Country")</f>
        <v>The mailing address should be in the format: Street number and name, City, Province/Territory, Postal Code, Country</v>
      </c>
      <c r="H138" s="29" t="str">
        <f>IFERROR(__xludf.DUMMYFUNCTION("""COMPUTED_VALUE"""),"123 Sunnybrooke St, Toronto, Ontario, M4P 1L6, Canada")</f>
        <v>123 Sunnybrooke St, Toronto, Ontario, M4P 1L6, Canada</v>
      </c>
      <c r="I138" s="29"/>
      <c r="J138" s="29"/>
      <c r="K138" s="30" t="s">
        <v>19</v>
      </c>
      <c r="L138" s="30" t="s">
        <v>19</v>
      </c>
      <c r="M138" s="30" t="s">
        <v>19</v>
      </c>
      <c r="N138" s="31" t="str">
        <f>IFERROR(__xludf.DUMMYFUNCTION("""COMPUTED_VALUE"""),"Mpox;Mpox_international")</f>
        <v>Mpox;Mpox_international</v>
      </c>
    </row>
    <row r="139">
      <c r="A139" s="29" t="str">
        <f>IFERROR(__xludf.DUMMYFUNCTION("""COMPUTED_VALUE"""),"Sequencing")</f>
        <v>Sequencing</v>
      </c>
      <c r="B139" s="29" t="str">
        <f>IFERROR(__xludf.DUMMYFUNCTION("""COMPUTED_VALUE"""),"purpose of sequencing")</f>
        <v>purpose of sequencing</v>
      </c>
      <c r="C139" s="29" t="b">
        <f>IFERROR(__xludf.DUMMYFUNCTION("""COMPUTED_VALUE"""),TRUE)</f>
        <v>1</v>
      </c>
      <c r="D139" s="29" t="str">
        <f>IFERROR(__xludf.DUMMYFUNCTION("""COMPUTED_VALUE"""),"")</f>
        <v/>
      </c>
      <c r="E139" s="29" t="str">
        <f>IFERROR(__xludf.DUMMYFUNCTION("""COMPUTED_VALUE"""),"GENEPIO:0001445")</f>
        <v>GENEPIO:0001445</v>
      </c>
      <c r="F139" s="29" t="str">
        <f>IFERROR(__xludf.DUMMYFUNCTION("""COMPUTED_VALUE"""),"The reason that the sample was sequenced.")</f>
        <v>The reason that the sample was sequenced.</v>
      </c>
      <c r="G139"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39" s="29" t="str">
        <f>IFERROR(__xludf.DUMMYFUNCTION("""COMPUTED_VALUE"""),"Select ""Targeted surveillance (non-random sampling)"" if the specimen fits any of the following criteria:  Specimens attributed to individuals with no known intimate contacts to positive cases;Specimens attributed to youth/minors &lt;18 yrs.;Specimens attri"&amp;"buted to vulnerable persons living in transient shelters or congregant settings;Specimens attributed to individuals self-identifying as “female”;For specimens with a recent international and/or domestic travel history, please select the most appropriate t"&amp;"ag from the following three options:  Domestic travel surveillance;International travel surveillance;Travel-associated surveillance;For specimens targeted for sequencing as part of an outbreak investigation, please select:  Cluster/Outbreak investigation;"&amp;" In all other cases use:  Baseline surveillance (random sampling).")</f>
        <v>Select "Targeted surveillance (non-random sampling)" if the specimen fits any of the following criteria:  Specimens attributed to individuals with no known intimate contacts to positive cases;Specimens attributed to youth/minors &lt;18 yrs.;Specimens attributed to vulnerable persons living in transient shelters or congregant settings;Specimens attributed to individuals self-identifying as “female”;For specimens with a recent international and/or domestic travel history, please select the most appropriate tag from the following three options:  Domestic travel surveillance;International travel surveillance;Travel-associated surveillance;For specimens targeted for sequencing as part of an outbreak investigation, please select:  Cluster/Outbreak investigation; In all other cases use:  Baseline surveillance (random sampling).</v>
      </c>
      <c r="I139" s="29"/>
      <c r="J139" s="29"/>
      <c r="K139" s="30" t="s">
        <v>19</v>
      </c>
      <c r="L139" s="30" t="s">
        <v>19</v>
      </c>
      <c r="M139" s="30" t="s">
        <v>19</v>
      </c>
      <c r="N139" s="31" t="str">
        <f>IFERROR(__xludf.DUMMYFUNCTION("""COMPUTED_VALUE"""),"Mpox")</f>
        <v>Mpox</v>
      </c>
    </row>
    <row r="140">
      <c r="A140" s="29" t="str">
        <f>IFERROR(__xludf.DUMMYFUNCTION("""COMPUTED_VALUE"""),"Sequencing")</f>
        <v>Sequencing</v>
      </c>
      <c r="B140" s="29" t="str">
        <f>IFERROR(__xludf.DUMMYFUNCTION("""COMPUTED_VALUE"""),"purpose of sequencing")</f>
        <v>purpose of sequencing</v>
      </c>
      <c r="C140" s="29" t="b">
        <f>IFERROR(__xludf.DUMMYFUNCTION("""COMPUTED_VALUE"""),TRUE)</f>
        <v>1</v>
      </c>
      <c r="D140" s="29" t="str">
        <f>IFERROR(__xludf.DUMMYFUNCTION("""COMPUTED_VALUE"""),"")</f>
        <v/>
      </c>
      <c r="E140" s="29" t="str">
        <f>IFERROR(__xludf.DUMMYFUNCTION("""COMPUTED_VALUE"""),"GENEPIO:0001445")</f>
        <v>GENEPIO:0001445</v>
      </c>
      <c r="F140" s="29" t="str">
        <f>IFERROR(__xludf.DUMMYFUNCTION("""COMPUTED_VALUE"""),"The reason that the sample was sequenced.")</f>
        <v>The reason that the sample was sequenced.</v>
      </c>
      <c r="G140" s="29" t="str">
        <f>IFERROR(__xludf.DUMMYFUNCTION("""COMPUTED_VALUE"""),"The reason why a sample was originally collected may differ from the reason why it was selected for sequencing. The reason a sample was sequenced may provide information about potential biases in sequencing strategy. Provide the purpose of sequencing from"&amp;" the picklist in the template. The reason for sample collection should be indicated in the ""purpose of sampling"" field. ")</f>
        <v>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v>
      </c>
      <c r="H140" s="29" t="str">
        <f>IFERROR(__xludf.DUMMYFUNCTION("""COMPUTED_VALUE"""),"Baseline surveillance (random sampling) [GENEPIO:0100005]")</f>
        <v>Baseline surveillance (random sampling) [GENEPIO:0100005]</v>
      </c>
      <c r="I140" s="29"/>
      <c r="J140" s="29"/>
      <c r="K140" s="30" t="s">
        <v>19</v>
      </c>
      <c r="L140" s="30" t="s">
        <v>19</v>
      </c>
      <c r="M140" s="30" t="s">
        <v>19</v>
      </c>
      <c r="N140" s="31" t="str">
        <f>IFERROR(__xludf.DUMMYFUNCTION("""COMPUTED_VALUE"""),"Mpox_international")</f>
        <v>Mpox_international</v>
      </c>
    </row>
    <row r="141">
      <c r="A141" s="29" t="str">
        <f>IFERROR(__xludf.DUMMYFUNCTION("""COMPUTED_VALUE"""),"Sequencing")</f>
        <v>Sequencing</v>
      </c>
      <c r="B141" s="29" t="str">
        <f>IFERROR(__xludf.DUMMYFUNCTION("""COMPUTED_VALUE"""),"purpose of sequencing details")</f>
        <v>purpose of sequencing details</v>
      </c>
      <c r="C141" s="29" t="b">
        <f>IFERROR(__xludf.DUMMYFUNCTION("""COMPUTED_VALUE"""),TRUE)</f>
        <v>1</v>
      </c>
      <c r="D141" s="29" t="str">
        <f>IFERROR(__xludf.DUMMYFUNCTION("""COMPUTED_VALUE"""),"")</f>
        <v/>
      </c>
      <c r="E141" s="29" t="str">
        <f>IFERROR(__xludf.DUMMYFUNCTION("""COMPUTED_VALUE"""),"GENEPIO:0001446")</f>
        <v>GENEPIO:0001446</v>
      </c>
      <c r="F141" s="29" t="str">
        <f>IFERROR(__xludf.DUMMYFUNCTION("""COMPUTED_VALUE"""),"The description of why the sample was sequenced providing specific details.")</f>
        <v>The description of why the sample was sequenced providing specific details.</v>
      </c>
      <c r="G141" s="29" t="str">
        <f>IFERROR(__xludf.DUMMYFUNCTION("""COMPUTED_VALUE"""),"Provide an expanded description of why the sample was sequenced using free text. The description may include the importance of the sequences for a particular public health investigation/surveillance activity/research question. Suggested standardized descr"&amp;"iotions include: Screened due to travel history, Screened due to close contact with infected individual.")</f>
        <v>Provide an expanded description of why the sample was sequenced using free text. The description may include the importance of the sequences for a particular public health investigation/surveillance activity/research question. Suggested standardized descriotions include: Screened due to travel history, Screened due to close contact with infected individual.</v>
      </c>
      <c r="H141" s="29" t="str">
        <f>IFERROR(__xludf.DUMMYFUNCTION("""COMPUTED_VALUE"""),"Outbreak in MSM community")</f>
        <v>Outbreak in MSM community</v>
      </c>
      <c r="I141" s="29"/>
      <c r="J141" s="29"/>
      <c r="K141" s="30" t="s">
        <v>19</v>
      </c>
      <c r="L141" s="30" t="s">
        <v>19</v>
      </c>
      <c r="M141" s="30" t="s">
        <v>19</v>
      </c>
      <c r="N141" s="31" t="str">
        <f>IFERROR(__xludf.DUMMYFUNCTION("""COMPUTED_VALUE"""),"Mpox;Mpox_international")</f>
        <v>Mpox;Mpox_international</v>
      </c>
    </row>
    <row r="142">
      <c r="A142" s="29" t="str">
        <f>IFERROR(__xludf.DUMMYFUNCTION("""COMPUTED_VALUE"""),"Sequencing")</f>
        <v>Sequencing</v>
      </c>
      <c r="B142" s="29" t="str">
        <f>IFERROR(__xludf.DUMMYFUNCTION("""COMPUTED_VALUE"""),"sequencing date")</f>
        <v>sequencing date</v>
      </c>
      <c r="C142" s="29" t="b">
        <f>IFERROR(__xludf.DUMMYFUNCTION("""COMPUTED_VALUE"""),TRUE)</f>
        <v>1</v>
      </c>
      <c r="D142" s="29" t="str">
        <f>IFERROR(__xludf.DUMMYFUNCTION("""COMPUTED_VALUE"""),"")</f>
        <v/>
      </c>
      <c r="E142" s="29" t="str">
        <f>IFERROR(__xludf.DUMMYFUNCTION("""COMPUTED_VALUE"""),"GENEPIO:0001447")</f>
        <v>GENEPIO:0001447</v>
      </c>
      <c r="F142" s="29" t="str">
        <f>IFERROR(__xludf.DUMMYFUNCTION("""COMPUTED_VALUE"""),"The date the sample was sequenced.")</f>
        <v>The date the sample was sequenced.</v>
      </c>
      <c r="G142" s="29" t="str">
        <f>IFERROR(__xludf.DUMMYFUNCTION("""COMPUTED_VALUE"""),"ISO 8601 standard ""YYYY-MM-DD"".")</f>
        <v>ISO 8601 standard "YYYY-MM-DD".</v>
      </c>
      <c r="H142" s="37">
        <f>IFERROR(__xludf.DUMMYFUNCTION("""COMPUTED_VALUE"""),44004.0)</f>
        <v>44004</v>
      </c>
      <c r="I142" s="29"/>
      <c r="J142" s="29"/>
      <c r="K142" s="30" t="s">
        <v>19</v>
      </c>
      <c r="L142" s="30" t="s">
        <v>19</v>
      </c>
      <c r="M142" s="30" t="s">
        <v>19</v>
      </c>
      <c r="N142" s="31" t="str">
        <f>IFERROR(__xludf.DUMMYFUNCTION("""COMPUTED_VALUE"""),"Mpox")</f>
        <v>Mpox</v>
      </c>
    </row>
    <row r="143">
      <c r="A143" s="29" t="str">
        <f>IFERROR(__xludf.DUMMYFUNCTION("""COMPUTED_VALUE"""),"Sequencing")</f>
        <v>Sequencing</v>
      </c>
      <c r="B143" s="29" t="str">
        <f>IFERROR(__xludf.DUMMYFUNCTION("""COMPUTED_VALUE"""),"sequencing date")</f>
        <v>sequencing date</v>
      </c>
      <c r="C143" s="29"/>
      <c r="D143" s="29" t="str">
        <f>IFERROR(__xludf.DUMMYFUNCTION("""COMPUTED_VALUE"""),"")</f>
        <v/>
      </c>
      <c r="E143" s="29" t="str">
        <f>IFERROR(__xludf.DUMMYFUNCTION("""COMPUTED_VALUE"""),"GENEPIO:0001447")</f>
        <v>GENEPIO:0001447</v>
      </c>
      <c r="F143" s="29" t="str">
        <f>IFERROR(__xludf.DUMMYFUNCTION("""COMPUTED_VALUE"""),"The date the sample was sequenced.")</f>
        <v>The date the sample was sequenced.</v>
      </c>
      <c r="G143" s="29" t="str">
        <f>IFERROR(__xludf.DUMMYFUNCTION("""COMPUTED_VALUE"""),"ISO 8601 standard ""YYYY-MM-DD"".")</f>
        <v>ISO 8601 standard "YYYY-MM-DD".</v>
      </c>
      <c r="H143" s="37">
        <f>IFERROR(__xludf.DUMMYFUNCTION("""COMPUTED_VALUE"""),44004.0)</f>
        <v>44004</v>
      </c>
      <c r="I143" s="29"/>
      <c r="J143" s="29"/>
      <c r="K143" s="30" t="s">
        <v>19</v>
      </c>
      <c r="L143" s="30" t="s">
        <v>19</v>
      </c>
      <c r="M143" s="30" t="s">
        <v>19</v>
      </c>
      <c r="N143" s="31" t="str">
        <f>IFERROR(__xludf.DUMMYFUNCTION("""COMPUTED_VALUE"""),"Mpox_international")</f>
        <v>Mpox_international</v>
      </c>
    </row>
    <row r="144">
      <c r="A144" s="29" t="str">
        <f>IFERROR(__xludf.DUMMYFUNCTION("""COMPUTED_VALUE"""),"Sequencing")</f>
        <v>Sequencing</v>
      </c>
      <c r="B144" s="29" t="str">
        <f>IFERROR(__xludf.DUMMYFUNCTION("""COMPUTED_VALUE"""),"library ID")</f>
        <v>library ID</v>
      </c>
      <c r="C144" s="29"/>
      <c r="D144" s="29" t="b">
        <f>IFERROR(__xludf.DUMMYFUNCTION("""COMPUTED_VALUE"""),TRUE)</f>
        <v>1</v>
      </c>
      <c r="E144" s="29" t="str">
        <f>IFERROR(__xludf.DUMMYFUNCTION("""COMPUTED_VALUE"""),"GENEPIO:0001448")</f>
        <v>GENEPIO:0001448</v>
      </c>
      <c r="F144" s="29" t="str">
        <f>IFERROR(__xludf.DUMMYFUNCTION("""COMPUTED_VALUE"""),"The user-specified identifier for the library prepared for sequencing.")</f>
        <v>The user-specified identifier for the library prepared for sequencing.</v>
      </c>
      <c r="G144" s="29" t="str">
        <f>IFERROR(__xludf.DUMMYFUNCTION("""COMPUTED_VALUE"""),"The library name should be unique, and can be an autogenerated ID from your LIMS, or modification of the isolate ID.")</f>
        <v>The library name should be unique, and can be an autogenerated ID from your LIMS, or modification of the isolate ID.</v>
      </c>
      <c r="H144" s="29" t="str">
        <f>IFERROR(__xludf.DUMMYFUNCTION("""COMPUTED_VALUE"""),"XYZ_123345")</f>
        <v>XYZ_123345</v>
      </c>
      <c r="I144" s="29"/>
      <c r="J144" s="29"/>
      <c r="K144" s="30" t="s">
        <v>19</v>
      </c>
      <c r="L144" s="30" t="s">
        <v>19</v>
      </c>
      <c r="M144" s="30" t="s">
        <v>19</v>
      </c>
      <c r="N144" s="31" t="str">
        <f>IFERROR(__xludf.DUMMYFUNCTION("""COMPUTED_VALUE"""),"Mpox;Mpox_international")</f>
        <v>Mpox;Mpox_international</v>
      </c>
    </row>
    <row r="145">
      <c r="A145" s="29" t="str">
        <f>IFERROR(__xludf.DUMMYFUNCTION("""COMPUTED_VALUE"""),"Sequencing")</f>
        <v>Sequencing</v>
      </c>
      <c r="B145" s="29" t="str">
        <f>IFERROR(__xludf.DUMMYFUNCTION("""COMPUTED_VALUE"""),"library preparation kit")</f>
        <v>library preparation kit</v>
      </c>
      <c r="C145" s="29" t="str">
        <f>IFERROR(__xludf.DUMMYFUNCTION("""COMPUTED_VALUE"""),"")</f>
        <v/>
      </c>
      <c r="D145" s="29" t="str">
        <f>IFERROR(__xludf.DUMMYFUNCTION("""COMPUTED_VALUE"""),"")</f>
        <v/>
      </c>
      <c r="E145" s="29" t="str">
        <f>IFERROR(__xludf.DUMMYFUNCTION("""COMPUTED_VALUE"""),"GENEPIO:0001450")</f>
        <v>GENEPIO:0001450</v>
      </c>
      <c r="F145" s="29" t="str">
        <f>IFERROR(__xludf.DUMMYFUNCTION("""COMPUTED_VALUE"""),"The name of the DNA library preparation kit used to generate the library being sequenced.")</f>
        <v>The name of the DNA library preparation kit used to generate the library being sequenced.</v>
      </c>
      <c r="G145" s="29" t="str">
        <f>IFERROR(__xludf.DUMMYFUNCTION("""COMPUTED_VALUE"""),"Provide the name of the library preparation kit used.")</f>
        <v>Provide the name of the library preparation kit used.</v>
      </c>
      <c r="H145" s="29" t="str">
        <f>IFERROR(__xludf.DUMMYFUNCTION("""COMPUTED_VALUE"""),"Nextera XT")</f>
        <v>Nextera XT</v>
      </c>
      <c r="I145" s="29"/>
      <c r="J145" s="29"/>
      <c r="K145" s="30" t="s">
        <v>19</v>
      </c>
      <c r="L145" s="30" t="s">
        <v>19</v>
      </c>
      <c r="M145" s="30" t="s">
        <v>19</v>
      </c>
      <c r="N145" s="31" t="str">
        <f>IFERROR(__xludf.DUMMYFUNCTION("""COMPUTED_VALUE"""),"Mpox;Mpox_international")</f>
        <v>Mpox;Mpox_international</v>
      </c>
    </row>
    <row r="146">
      <c r="A146" s="29" t="str">
        <f>IFERROR(__xludf.DUMMYFUNCTION("""COMPUTED_VALUE"""),"Sequence information")</f>
        <v>Sequence information</v>
      </c>
      <c r="B146" s="29" t="str">
        <f>IFERROR(__xludf.DUMMYFUNCTION("""COMPUTED_VALUE"""),"sequencing assay type")</f>
        <v>sequencing assay type</v>
      </c>
      <c r="C146" s="29"/>
      <c r="D146" s="29"/>
      <c r="E146" s="29" t="str">
        <f>IFERROR(__xludf.DUMMYFUNCTION("""COMPUTED_VALUE"""),"GENEPIO:0100997")</f>
        <v>GENEPIO:0100997</v>
      </c>
      <c r="F146" s="29" t="str">
        <f>IFERROR(__xludf.DUMMYFUNCTION("""COMPUTED_VALUE"""),"The overarching sequencing methodology that was used to determine the sequence of a biomaterial.")</f>
        <v>The overarching sequencing methodology that was used to determine the sequence of a biomaterial.</v>
      </c>
      <c r="G146"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46" s="29" t="str">
        <f>IFERROR(__xludf.DUMMYFUNCTION("""COMPUTED_VALUE"""),"whole genome sequencing assay")</f>
        <v>whole genome sequencing assay</v>
      </c>
      <c r="I146" s="29"/>
      <c r="J146" s="29"/>
      <c r="K146" s="30" t="s">
        <v>19</v>
      </c>
      <c r="L146" s="30" t="s">
        <v>19</v>
      </c>
      <c r="M146" s="30" t="s">
        <v>19</v>
      </c>
      <c r="N146" s="31" t="str">
        <f>IFERROR(__xludf.DUMMYFUNCTION("""COMPUTED_VALUE"""),"Mpox")</f>
        <v>Mpox</v>
      </c>
    </row>
    <row r="147">
      <c r="A147" s="29" t="str">
        <f>IFERROR(__xludf.DUMMYFUNCTION("""COMPUTED_VALUE"""),"Sequence information")</f>
        <v>Sequence information</v>
      </c>
      <c r="B147" s="29" t="str">
        <f>IFERROR(__xludf.DUMMYFUNCTION("""COMPUTED_VALUE"""),"sequencing assay type")</f>
        <v>sequencing assay type</v>
      </c>
      <c r="C147" s="29"/>
      <c r="D147" s="29"/>
      <c r="E147" s="29" t="str">
        <f>IFERROR(__xludf.DUMMYFUNCTION("""COMPUTED_VALUE"""),"GENEPIO:0100997")</f>
        <v>GENEPIO:0100997</v>
      </c>
      <c r="F147" s="29" t="str">
        <f>IFERROR(__xludf.DUMMYFUNCTION("""COMPUTED_VALUE"""),"The overarching sequencing methodology that was used to determine the sequence of a biomaterial.")</f>
        <v>The overarching sequencing methodology that was used to determine the sequence of a biomaterial.</v>
      </c>
      <c r="G147" s="29" t="str">
        <f>IFERROR(__xludf.DUMMYFUNCTION("""COMPUTED_VALUE"""),"Example Guidance: Provide the name of the DNA or RNA sequencing technology used in your study. If unsure refer to the protocol documentation, or provide a null value.")</f>
        <v>Example Guidance: Provide the name of the DNA or RNA sequencing technology used in your study. If unsure refer to the protocol documentation, or provide a null value.</v>
      </c>
      <c r="H147" s="29" t="str">
        <f>IFERROR(__xludf.DUMMYFUNCTION("""COMPUTED_VALUE"""),"whole genome sequencing assay [OBI:0002117]")</f>
        <v>whole genome sequencing assay [OBI:0002117]</v>
      </c>
      <c r="I147" s="29"/>
      <c r="J147" s="29"/>
      <c r="K147" s="30" t="s">
        <v>19</v>
      </c>
      <c r="L147" s="30" t="s">
        <v>19</v>
      </c>
      <c r="M147" s="30" t="s">
        <v>19</v>
      </c>
      <c r="N147" s="31" t="str">
        <f>IFERROR(__xludf.DUMMYFUNCTION("""COMPUTED_VALUE"""),"Mpox_international")</f>
        <v>Mpox_international</v>
      </c>
    </row>
    <row r="148">
      <c r="A148" s="29" t="str">
        <f>IFERROR(__xludf.DUMMYFUNCTION("""COMPUTED_VALUE"""),"Sequencing")</f>
        <v>Sequencing</v>
      </c>
      <c r="B148" s="29" t="str">
        <f>IFERROR(__xludf.DUMMYFUNCTION("""COMPUTED_VALUE"""),"sequencing instrument")</f>
        <v>sequencing instrument</v>
      </c>
      <c r="C148" s="29" t="b">
        <f>IFERROR(__xludf.DUMMYFUNCTION("""COMPUTED_VALUE"""),TRUE)</f>
        <v>1</v>
      </c>
      <c r="D148" s="29" t="str">
        <f>IFERROR(__xludf.DUMMYFUNCTION("""COMPUTED_VALUE"""),"")</f>
        <v/>
      </c>
      <c r="E148" s="29" t="str">
        <f>IFERROR(__xludf.DUMMYFUNCTION("""COMPUTED_VALUE"""),"GENEPIO:0001452")</f>
        <v>GENEPIO:0001452</v>
      </c>
      <c r="F148" s="29" t="str">
        <f>IFERROR(__xludf.DUMMYFUNCTION("""COMPUTED_VALUE"""),"The model of the sequencing instrument used.")</f>
        <v>The model of the sequencing instrument used.</v>
      </c>
      <c r="G148" s="29" t="str">
        <f>IFERROR(__xludf.DUMMYFUNCTION("""COMPUTED_VALUE"""),"Select a sequencing instrument from the picklist provided in the template.")</f>
        <v>Select a sequencing instrument from the picklist provided in the template.</v>
      </c>
      <c r="H148" s="29" t="str">
        <f>IFERROR(__xludf.DUMMYFUNCTION("""COMPUTED_VALUE"""),"Oxford Nanopore MinION")</f>
        <v>Oxford Nanopore MinION</v>
      </c>
      <c r="I148" s="29"/>
      <c r="J148" s="29"/>
      <c r="K148" s="30" t="s">
        <v>19</v>
      </c>
      <c r="L148" s="30" t="s">
        <v>19</v>
      </c>
      <c r="M148" s="30" t="s">
        <v>19</v>
      </c>
      <c r="N148" s="31" t="str">
        <f>IFERROR(__xludf.DUMMYFUNCTION("""COMPUTED_VALUE"""),"Mpox")</f>
        <v>Mpox</v>
      </c>
    </row>
    <row r="149">
      <c r="A149" s="29" t="str">
        <f>IFERROR(__xludf.DUMMYFUNCTION("""COMPUTED_VALUE"""),"Sequencing")</f>
        <v>Sequencing</v>
      </c>
      <c r="B149" s="29" t="str">
        <f>IFERROR(__xludf.DUMMYFUNCTION("""COMPUTED_VALUE"""),"sequencing instrument")</f>
        <v>sequencing instrument</v>
      </c>
      <c r="C149" s="29" t="b">
        <f>IFERROR(__xludf.DUMMYFUNCTION("""COMPUTED_VALUE"""),TRUE)</f>
        <v>1</v>
      </c>
      <c r="D149" s="29" t="str">
        <f>IFERROR(__xludf.DUMMYFUNCTION("""COMPUTED_VALUE"""),"")</f>
        <v/>
      </c>
      <c r="E149" s="29" t="str">
        <f>IFERROR(__xludf.DUMMYFUNCTION("""COMPUTED_VALUE"""),"GENEPIO:0001452")</f>
        <v>GENEPIO:0001452</v>
      </c>
      <c r="F149" s="29" t="str">
        <f>IFERROR(__xludf.DUMMYFUNCTION("""COMPUTED_VALUE"""),"The model of the sequencing instrument used.")</f>
        <v>The model of the sequencing instrument used.</v>
      </c>
      <c r="G149" s="29" t="str">
        <f>IFERROR(__xludf.DUMMYFUNCTION("""COMPUTED_VALUE"""),"Select a sequencing instrument from the picklist provided in the template.")</f>
        <v>Select a sequencing instrument from the picklist provided in the template.</v>
      </c>
      <c r="H149" s="29" t="str">
        <f>IFERROR(__xludf.DUMMYFUNCTION("""COMPUTED_VALUE"""),"Oxford Nanopore MinION [GENEPIO:0100142]")</f>
        <v>Oxford Nanopore MinION [GENEPIO:0100142]</v>
      </c>
      <c r="I149" s="29"/>
      <c r="J149" s="29"/>
      <c r="K149" s="30" t="s">
        <v>19</v>
      </c>
      <c r="L149" s="30" t="s">
        <v>19</v>
      </c>
      <c r="M149" s="30" t="s">
        <v>19</v>
      </c>
      <c r="N149" s="31" t="str">
        <f>IFERROR(__xludf.DUMMYFUNCTION("""COMPUTED_VALUE"""),"Mpox_international")</f>
        <v>Mpox_international</v>
      </c>
    </row>
    <row r="150">
      <c r="A150" s="29" t="str">
        <f>IFERROR(__xludf.DUMMYFUNCTION("""COMPUTED_VALUE"""),"Sequence information")</f>
        <v>Sequence information</v>
      </c>
      <c r="B150" s="29" t="str">
        <f>IFERROR(__xludf.DUMMYFUNCTION("""COMPUTED_VALUE"""),"sequencing flow cell version")</f>
        <v>sequencing flow cell version</v>
      </c>
      <c r="C150" s="29"/>
      <c r="D150" s="29"/>
      <c r="E150" s="33" t="str">
        <f>IFERROR(__xludf.DUMMYFUNCTION("""COMPUTED_VALUE"""),"GENEPIO:0101102")</f>
        <v>GENEPIO:0101102</v>
      </c>
      <c r="F150" s="29" t="str">
        <f>IFERROR(__xludf.DUMMYFUNCTION("""COMPUTED_VALUE"""),"The version number of the flow cell used for generating sequence data.")</f>
        <v>The version number of the flow cell used for generating sequence data.</v>
      </c>
      <c r="G150" s="29" t="str">
        <f>IFERROR(__xludf.DUMMYFUNCTION("""COMPUTED_VALUE"""),"Flow cells can vary in terms of design, chemistry, capacity, etc. The version of the flow cell used to generate sequence data can affect sequence quantity and quality. Record the version of the flow cell used to generate sequence data. Do not include ""ve"&amp;"rsion"" or ""v"" in the version number.")</f>
        <v>Flow cells can vary in terms of design, chemistry, capacity, etc. The version of the flow cell used to generate sequence data can affect sequence quantity and quality. Record the version of the flow cell used to generate sequence data. Do not include "version" or "v" in the version number.</v>
      </c>
      <c r="H150" s="29" t="str">
        <f>IFERROR(__xludf.DUMMYFUNCTION("""COMPUTED_VALUE"""),"R.9.4.1")</f>
        <v>R.9.4.1</v>
      </c>
      <c r="I150" s="29"/>
      <c r="J150" s="29"/>
      <c r="K150" s="30" t="s">
        <v>19</v>
      </c>
      <c r="L150" s="30" t="s">
        <v>19</v>
      </c>
      <c r="M150" s="30" t="s">
        <v>19</v>
      </c>
      <c r="N150" s="31" t="str">
        <f>IFERROR(__xludf.DUMMYFUNCTION("""COMPUTED_VALUE"""),"Mpox;Mpox_international")</f>
        <v>Mpox;Mpox_international</v>
      </c>
    </row>
    <row r="151">
      <c r="A151" s="29" t="str">
        <f>IFERROR(__xludf.DUMMYFUNCTION("""COMPUTED_VALUE"""),"Sequencing")</f>
        <v>Sequencing</v>
      </c>
      <c r="B151" s="29" t="str">
        <f>IFERROR(__xludf.DUMMYFUNCTION("""COMPUTED_VALUE"""),"sequencing protocol  ")</f>
        <v>sequencing protocol  </v>
      </c>
      <c r="C151" s="29" t="str">
        <f>IFERROR(__xludf.DUMMYFUNCTION("""COMPUTED_VALUE"""),"")</f>
        <v/>
      </c>
      <c r="D151" s="29" t="str">
        <f>IFERROR(__xludf.DUMMYFUNCTION("""COMPUTED_VALUE"""),"")</f>
        <v/>
      </c>
      <c r="E151" s="29" t="str">
        <f>IFERROR(__xludf.DUMMYFUNCTION("""COMPUTED_VALUE"""),"GENEPIO:0001454")</f>
        <v>GENEPIO:0001454</v>
      </c>
      <c r="F151" s="29" t="str">
        <f>IFERROR(__xludf.DUMMYFUNCTION("""COMPUTED_VALUE"""),"The protocol used to generate the sequence.")</f>
        <v>The protocol used to generate the sequence.</v>
      </c>
      <c r="G151" s="29" t="str">
        <f>IFERROR(__xludf.DUMMYFUNCTION("""COMPUTED_VALUE"""),"Provide a free text description of the methods and materials used to generate the sequence. Suggested text, fill in information where indicated.: ""Viral sequencing was performed following a metagenomic shotgun sequencing approach. Sequencing was performe"&amp;"d using a &lt;fill in&gt; sequencing instrument. Libraries were prepared using &lt;fill in&gt; library kit. """)</f>
        <v>Provide a free text description of the methods and materials used to generate the sequence. Suggested text, fill in information where indicated.: "Viral sequencing was performed following a metagenomic shotgun sequencing approach. Sequencing was performed using a &lt;fill in&gt; sequencing instrument. Libraries were prepared using &lt;fill in&gt; library kit. "</v>
      </c>
      <c r="H151" s="29" t="str">
        <f>IFERROR(__xludf.DUMMYFUNCTION("""COMPUTED_VALUE"""),"Viral sequencing was performed following a metagenomic shotgun sequencing approach. Libraries were created using Illumina DNA Prep kits, and sequence data was produced using Miseq Micro v2 (500 cycles) sequencing kits.")</f>
        <v>Viral sequencing was performed following a metagenomic shotgun sequencing approach. Libraries were created using Illumina DNA Prep kits, and sequence data was produced using Miseq Micro v2 (500 cycles) sequencing kits.</v>
      </c>
      <c r="I151" s="29"/>
      <c r="J151" s="29"/>
      <c r="K151" s="30" t="s">
        <v>19</v>
      </c>
      <c r="L151" s="30" t="s">
        <v>19</v>
      </c>
      <c r="M151" s="30" t="s">
        <v>19</v>
      </c>
      <c r="N151" s="31" t="str">
        <f>IFERROR(__xludf.DUMMYFUNCTION("""COMPUTED_VALUE"""),"Mpox;Mpox_international")</f>
        <v>Mpox;Mpox_international</v>
      </c>
    </row>
    <row r="152">
      <c r="A152" s="29" t="str">
        <f>IFERROR(__xludf.DUMMYFUNCTION("""COMPUTED_VALUE"""),"Sequencing")</f>
        <v>Sequencing</v>
      </c>
      <c r="B152" s="29" t="str">
        <f>IFERROR(__xludf.DUMMYFUNCTION("""COMPUTED_VALUE"""),"sequencing kit number")</f>
        <v>sequencing kit number</v>
      </c>
      <c r="C152" s="29"/>
      <c r="D152" s="29"/>
      <c r="E152" s="29" t="str">
        <f>IFERROR(__xludf.DUMMYFUNCTION("""COMPUTED_VALUE"""),"GENEPIO:0001455")</f>
        <v>GENEPIO:0001455</v>
      </c>
      <c r="F152" s="29" t="str">
        <f>IFERROR(__xludf.DUMMYFUNCTION("""COMPUTED_VALUE"""),"The manufacturer's kit number.")</f>
        <v>The manufacturer's kit number.</v>
      </c>
      <c r="G152" s="29" t="str">
        <f>IFERROR(__xludf.DUMMYFUNCTION("""COMPUTED_VALUE"""),"Alphanumeric value.")</f>
        <v>Alphanumeric value.</v>
      </c>
      <c r="H152" s="29" t="str">
        <f>IFERROR(__xludf.DUMMYFUNCTION("""COMPUTED_VALUE"""),"AB456XYZ789")</f>
        <v>AB456XYZ789</v>
      </c>
      <c r="I152" s="29"/>
      <c r="J152" s="29"/>
      <c r="K152" s="30" t="s">
        <v>19</v>
      </c>
      <c r="L152" s="30" t="s">
        <v>19</v>
      </c>
      <c r="M152" s="30" t="s">
        <v>19</v>
      </c>
      <c r="N152" s="31" t="str">
        <f>IFERROR(__xludf.DUMMYFUNCTION("""COMPUTED_VALUE"""),"Mpox;Mpox_international")</f>
        <v>Mpox;Mpox_international</v>
      </c>
    </row>
    <row r="153">
      <c r="A153" s="29" t="str">
        <f>IFERROR(__xludf.DUMMYFUNCTION("""COMPUTED_VALUE"""),"Sequencing")</f>
        <v>Sequencing</v>
      </c>
      <c r="B153" s="29" t="str">
        <f>IFERROR(__xludf.DUMMYFUNCTION("""COMPUTED_VALUE"""),"DNA fragment length")</f>
        <v>DNA fragment length</v>
      </c>
      <c r="C153" s="29"/>
      <c r="D153" s="29"/>
      <c r="E153" s="33" t="str">
        <f>IFERROR(__xludf.DUMMYFUNCTION("""COMPUTED_VALUE"""),"GENEPIO:0100843")</f>
        <v>GENEPIO:0100843</v>
      </c>
      <c r="F153" s="29" t="str">
        <f>IFERROR(__xludf.DUMMYFUNCTION("""COMPUTED_VALUE"""),"The length of the DNA fragment generated by mechanical shearing or enzymatic digestion for the purposes of library preparation.")</f>
        <v>The length of the DNA fragment generated by mechanical shearing or enzymatic digestion for the purposes of library preparation.</v>
      </c>
      <c r="G153" s="29" t="str">
        <f>IFERROR(__xludf.DUMMYFUNCTION("""COMPUTED_VALUE"""),"Provide the fragment length in base pairs (do not include the units).")</f>
        <v>Provide the fragment length in base pairs (do not include the units).</v>
      </c>
      <c r="H153" s="29">
        <f>IFERROR(__xludf.DUMMYFUNCTION("""COMPUTED_VALUE"""),400.0)</f>
        <v>400</v>
      </c>
      <c r="I153" s="29"/>
      <c r="J153" s="29"/>
      <c r="K153" s="30" t="s">
        <v>19</v>
      </c>
      <c r="L153" s="30" t="s">
        <v>19</v>
      </c>
      <c r="M153" s="30" t="s">
        <v>19</v>
      </c>
      <c r="N153" s="31" t="str">
        <f>IFERROR(__xludf.DUMMYFUNCTION("""COMPUTED_VALUE"""),"Mpox;Mpox_international")</f>
        <v>Mpox;Mpox_international</v>
      </c>
    </row>
    <row r="154">
      <c r="A154" s="29" t="str">
        <f>IFERROR(__xludf.DUMMYFUNCTION("""COMPUTED_VALUE"""),"Sequencing")</f>
        <v>Sequencing</v>
      </c>
      <c r="B154" s="29" t="str">
        <f>IFERROR(__xludf.DUMMYFUNCTION("""COMPUTED_VALUE"""),"genomic target enrichment method")</f>
        <v>genomic target enrichment method</v>
      </c>
      <c r="C154" s="29"/>
      <c r="D154" s="29" t="b">
        <f>IFERROR(__xludf.DUMMYFUNCTION("""COMPUTED_VALUE"""),TRUE)</f>
        <v>1</v>
      </c>
      <c r="E154" s="33" t="str">
        <f>IFERROR(__xludf.DUMMYFUNCTION("""COMPUTED_VALUE"""),"GENEPIO:0100966")</f>
        <v>GENEPIO:0100966</v>
      </c>
      <c r="F154" s="29" t="str">
        <f>IFERROR(__xludf.DUMMYFUNCTION("""COMPUTED_VALUE"""),"The molecular technique used to selectively capture and amplify specific regions of interest from a genome.")</f>
        <v>The molecular technique used to selectively capture and amplify specific regions of interest from a genome.</v>
      </c>
      <c r="G154" s="29" t="str">
        <f>IFERROR(__xludf.DUMMYFUNCTION("""COMPUTED_VALUE"""),"Provide the name of the enrichment method")</f>
        <v>Provide the name of the enrichment method</v>
      </c>
      <c r="H154" s="29" t="str">
        <f>IFERROR(__xludf.DUMMYFUNCTION("""COMPUTED_VALUE"""),"hybrid selection method")</f>
        <v>hybrid selection method</v>
      </c>
      <c r="I154" s="29"/>
      <c r="J154" s="29"/>
      <c r="K154" s="30" t="s">
        <v>20</v>
      </c>
      <c r="L154" s="30" t="s">
        <v>20</v>
      </c>
      <c r="M154" s="30" t="s">
        <v>20</v>
      </c>
      <c r="N154" s="31" t="str">
        <f>IFERROR(__xludf.DUMMYFUNCTION("""COMPUTED_VALUE"""),"Mpox")</f>
        <v>Mpox</v>
      </c>
    </row>
    <row r="155">
      <c r="A155" s="29" t="str">
        <f>IFERROR(__xludf.DUMMYFUNCTION("""COMPUTED_VALUE"""),"Sequencing")</f>
        <v>Sequencing</v>
      </c>
      <c r="B155" s="29" t="str">
        <f>IFERROR(__xludf.DUMMYFUNCTION("""COMPUTED_VALUE"""),"genomic target enrichment method")</f>
        <v>genomic target enrichment method</v>
      </c>
      <c r="C155" s="29"/>
      <c r="D155" s="29" t="b">
        <f>IFERROR(__xludf.DUMMYFUNCTION("""COMPUTED_VALUE"""),TRUE)</f>
        <v>1</v>
      </c>
      <c r="E155" s="33" t="str">
        <f>IFERROR(__xludf.DUMMYFUNCTION("""COMPUTED_VALUE"""),"GENEPIO:0100966")</f>
        <v>GENEPIO:0100966</v>
      </c>
      <c r="F155" s="29" t="str">
        <f>IFERROR(__xludf.DUMMYFUNCTION("""COMPUTED_VALUE"""),"The molecular technique used to selectively capture and amplify specific regions of interest from a genome.")</f>
        <v>The molecular technique used to selectively capture and amplify specific regions of interest from a genome.</v>
      </c>
      <c r="G155" s="29" t="str">
        <f>IFERROR(__xludf.DUMMYFUNCTION("""COMPUTED_VALUE"""),"Provide the name of the enrichment method")</f>
        <v>Provide the name of the enrichment method</v>
      </c>
      <c r="H155" s="29" t="str">
        <f>IFERROR(__xludf.DUMMYFUNCTION("""COMPUTED_VALUE"""),"hybrid selection method")</f>
        <v>hybrid selection method</v>
      </c>
      <c r="I155" s="29"/>
      <c r="J155" s="29"/>
      <c r="K155" s="30" t="s">
        <v>20</v>
      </c>
      <c r="L155" s="30" t="s">
        <v>20</v>
      </c>
      <c r="M155" s="30" t="s">
        <v>20</v>
      </c>
      <c r="N155" s="31" t="str">
        <f>IFERROR(__xludf.DUMMYFUNCTION("""COMPUTED_VALUE"""),"Mpox_international")</f>
        <v>Mpox_international</v>
      </c>
    </row>
    <row r="156">
      <c r="A156" s="29" t="str">
        <f>IFERROR(__xludf.DUMMYFUNCTION("""COMPUTED_VALUE"""),"Sequencing")</f>
        <v>Sequencing</v>
      </c>
      <c r="B156" s="29" t="str">
        <f>IFERROR(__xludf.DUMMYFUNCTION("""COMPUTED_VALUE"""),"genomic target enrichment method details")</f>
        <v>genomic target enrichment method details</v>
      </c>
      <c r="C156" s="29"/>
      <c r="D156" s="29"/>
      <c r="E156" s="33" t="str">
        <f>IFERROR(__xludf.DUMMYFUNCTION("""COMPUTED_VALUE"""),"GENEPIO:0100967")</f>
        <v>GENEPIO:0100967</v>
      </c>
      <c r="F156" s="29" t="str">
        <f>IFERROR(__xludf.DUMMYFUNCTION("""COMPUTED_VALUE"""),"Details that provide additional context to the molecular technique used to selectively capture and amplify specific regions of interest from a genome.")</f>
        <v>Details that provide additional context to the molecular technique used to selectively capture and amplify specific regions of interest from a genome.</v>
      </c>
      <c r="G156" s="29" t="str">
        <f>IFERROR(__xludf.DUMMYFUNCTION("""COMPUTED_VALUE"""),"Provide details that are applicable to the method you used.")</f>
        <v>Provide details that are applicable to the method you used.</v>
      </c>
      <c r="H156" s="29" t="str">
        <f>IFERROR(__xludf.DUMMYFUNCTION("""COMPUTED_VALUE"""),"enrichment was done using Illumina Target Enrichment methodology with the Illumina DNA Prep with enrichment kit.")</f>
        <v>enrichment was done using Illumina Target Enrichment methodology with the Illumina DNA Prep with enrichment kit.</v>
      </c>
      <c r="I156" s="29"/>
      <c r="J156" s="29"/>
      <c r="K156" s="30" t="s">
        <v>20</v>
      </c>
      <c r="L156" s="30" t="s">
        <v>20</v>
      </c>
      <c r="M156" s="30" t="s">
        <v>20</v>
      </c>
      <c r="N156" s="31" t="str">
        <f>IFERROR(__xludf.DUMMYFUNCTION("""COMPUTED_VALUE"""),"Mpox;Mpox_international")</f>
        <v>Mpox;Mpox_international</v>
      </c>
    </row>
    <row r="157">
      <c r="A157" s="29" t="str">
        <f>IFERROR(__xludf.DUMMYFUNCTION("""COMPUTED_VALUE"""),"Sequencing")</f>
        <v>Sequencing</v>
      </c>
      <c r="B157" s="29" t="str">
        <f>IFERROR(__xludf.DUMMYFUNCTION("""COMPUTED_VALUE"""),"amplicon pcr primer scheme")</f>
        <v>amplicon pcr primer scheme</v>
      </c>
      <c r="C157" s="29"/>
      <c r="D157" s="29"/>
      <c r="E157" s="29" t="str">
        <f>IFERROR(__xludf.DUMMYFUNCTION("""COMPUTED_VALUE"""),"GENEPIO:0001456")</f>
        <v>GENEPIO:0001456</v>
      </c>
      <c r="F157" s="29" t="str">
        <f>IFERROR(__xludf.DUMMYFUNCTION("""COMPUTED_VALUE"""),"The specifications of the primers (primer sequences, binding positions, fragment size generated etc) used to generate the amplicons to be sequenced.")</f>
        <v>The specifications of the primers (primer sequences, binding positions, fragment size generated etc) used to generate the amplicons to be sequenced.</v>
      </c>
      <c r="G157" s="29" t="str">
        <f>IFERROR(__xludf.DUMMYFUNCTION("""COMPUTED_VALUE"""),"Provide the name and version of the primer scheme used to generate the amplicons for sequencing.")</f>
        <v>Provide the name and version of the primer scheme used to generate the amplicons for sequencing.</v>
      </c>
      <c r="H157" s="29" t="str">
        <f>IFERROR(__xludf.DUMMYFUNCTION("""COMPUTED_VALUE"""),"MPXV Sunrise 3.1")</f>
        <v>MPXV Sunrise 3.1</v>
      </c>
      <c r="I157" s="29"/>
      <c r="J157" s="29"/>
      <c r="K157" s="30" t="s">
        <v>19</v>
      </c>
      <c r="L157" s="30" t="s">
        <v>19</v>
      </c>
      <c r="M157" s="30" t="s">
        <v>19</v>
      </c>
      <c r="N157" s="31" t="str">
        <f>IFERROR(__xludf.DUMMYFUNCTION("""COMPUTED_VALUE"""),"Mpox;Mpox_international")</f>
        <v>Mpox;Mpox_international</v>
      </c>
    </row>
    <row r="158">
      <c r="A158" s="29" t="str">
        <f>IFERROR(__xludf.DUMMYFUNCTION("""COMPUTED_VALUE"""),"Sequencing")</f>
        <v>Sequencing</v>
      </c>
      <c r="B158" s="29" t="str">
        <f>IFERROR(__xludf.DUMMYFUNCTION("""COMPUTED_VALUE"""),"amplicon size")</f>
        <v>amplicon size</v>
      </c>
      <c r="C158" s="29"/>
      <c r="D158" s="29"/>
      <c r="E158" s="29" t="str">
        <f>IFERROR(__xludf.DUMMYFUNCTION("""COMPUTED_VALUE"""),"GENEPIO:0001449")</f>
        <v>GENEPIO:0001449</v>
      </c>
      <c r="F158" s="29" t="str">
        <f>IFERROR(__xludf.DUMMYFUNCTION("""COMPUTED_VALUE"""),"The length of the amplicon generated by PCR amplification.")</f>
        <v>The length of the amplicon generated by PCR amplification.</v>
      </c>
      <c r="G158" s="29" t="str">
        <f>IFERROR(__xludf.DUMMYFUNCTION("""COMPUTED_VALUE"""),"Provide the amplicon size expressed in base pairs.")</f>
        <v>Provide the amplicon size expressed in base pairs.</v>
      </c>
      <c r="H158" s="29" t="str">
        <f>IFERROR(__xludf.DUMMYFUNCTION("""COMPUTED_VALUE"""),"300bp")</f>
        <v>300bp</v>
      </c>
      <c r="I158" s="29"/>
      <c r="J158" s="29"/>
      <c r="K158" s="30" t="s">
        <v>19</v>
      </c>
      <c r="L158" s="30" t="s">
        <v>19</v>
      </c>
      <c r="M158" s="30" t="s">
        <v>19</v>
      </c>
      <c r="N158" s="43"/>
    </row>
    <row r="159">
      <c r="A159" s="29"/>
      <c r="B159" s="29" t="str">
        <f>IFERROR(__xludf.DUMMYFUNCTION("""COMPUTED_VALUE"""),"Bioinformatics and QC metrics")</f>
        <v>Bioinformatics and QC metrics</v>
      </c>
      <c r="C159" s="29" t="str">
        <f>IFERROR(__xludf.DUMMYFUNCTION("""COMPUTED_VALUE"""),"")</f>
        <v/>
      </c>
      <c r="D159" s="29" t="str">
        <f>IFERROR(__xludf.DUMMYFUNCTION("""COMPUTED_VALUE"""),"")</f>
        <v/>
      </c>
      <c r="E159" s="29" t="str">
        <f>IFERROR(__xludf.DUMMYFUNCTION("""COMPUTED_VALUE"""),"GENEPIO:0001457")</f>
        <v>GENEPIO:0001457</v>
      </c>
      <c r="F159" s="29"/>
      <c r="G159" s="29"/>
      <c r="H159" s="29"/>
      <c r="I159" s="29"/>
      <c r="J159" s="29"/>
      <c r="K159" s="30" t="s">
        <v>19</v>
      </c>
      <c r="L159" s="30" t="s">
        <v>19</v>
      </c>
      <c r="M159" s="30" t="s">
        <v>19</v>
      </c>
      <c r="N159" s="31" t="str">
        <f>IFERROR(__xludf.DUMMYFUNCTION("""COMPUTED_VALUE"""),"Mpox;Mpox_international")</f>
        <v>Mpox;Mpox_international</v>
      </c>
    </row>
    <row r="160">
      <c r="A160" s="29" t="str">
        <f>IFERROR(__xludf.DUMMYFUNCTION("""COMPUTED_VALUE"""),"Bioinformatics and QC metrics")</f>
        <v>Bioinformatics and QC metrics</v>
      </c>
      <c r="B160" s="29" t="str">
        <f>IFERROR(__xludf.DUMMYFUNCTION("""COMPUTED_VALUE"""),"quality control method name")</f>
        <v>quality control method name</v>
      </c>
      <c r="C160" s="29"/>
      <c r="D160" s="29"/>
      <c r="E160" s="29" t="str">
        <f>IFERROR(__xludf.DUMMYFUNCTION("""COMPUTED_VALUE"""),"GENEPIO:0100557")</f>
        <v>GENEPIO:0100557</v>
      </c>
      <c r="F160" s="29" t="str">
        <f>IFERROR(__xludf.DUMMYFUNCTION("""COMPUTED_VALUE"""),"The name of the method used to assess whether a sequence passed a predetermined quality control threshold.")</f>
        <v>The name of the method used to assess whether a sequence passed a predetermined quality control threshold.</v>
      </c>
      <c r="G160" s="29" t="str">
        <f>IFERROR(__xludf.DUMMYFUNCTION("""COMPUTED_VALUE"""),"Providing the name of the method used for quality control is very important for interpreting the rest of the QC information. Method names can be provided as the name of a pipeline or a link to a GitHub repository. Multiple methods should be listed and sep"&amp;"arated by a semi-colon. Do not include QC tags in other fields if no method name is provided.")</f>
        <v>Providing the name of the method used for quality control is very important for interpreting the rest of the QC information. Method names can be provided as the name of a pipeline or a link to a GitHub repository. Multiple methods should be listed and separated by a semi-colon. Do not include QC tags in other fields if no method name is provided.</v>
      </c>
      <c r="H160" s="29" t="str">
        <f>IFERROR(__xludf.DUMMYFUNCTION("""COMPUTED_VALUE"""),"ncov-tools")</f>
        <v>ncov-tools</v>
      </c>
      <c r="I160" s="29"/>
      <c r="J160" s="29"/>
      <c r="K160" s="30" t="s">
        <v>19</v>
      </c>
      <c r="L160" s="30" t="s">
        <v>19</v>
      </c>
      <c r="M160" s="30" t="s">
        <v>19</v>
      </c>
      <c r="N160" s="31" t="str">
        <f>IFERROR(__xludf.DUMMYFUNCTION("""COMPUTED_VALUE"""),"Mpox;Mpox_international")</f>
        <v>Mpox;Mpox_international</v>
      </c>
    </row>
    <row r="161">
      <c r="A161" s="29" t="str">
        <f>IFERROR(__xludf.DUMMYFUNCTION("""COMPUTED_VALUE"""),"Bioinformatics and QC metrics")</f>
        <v>Bioinformatics and QC metrics</v>
      </c>
      <c r="B161" s="29" t="str">
        <f>IFERROR(__xludf.DUMMYFUNCTION("""COMPUTED_VALUE"""),"quality control method version")</f>
        <v>quality control method version</v>
      </c>
      <c r="C161" s="29"/>
      <c r="D161" s="29"/>
      <c r="E161" s="29" t="str">
        <f>IFERROR(__xludf.DUMMYFUNCTION("""COMPUTED_VALUE"""),"GENEPIO:0100558")</f>
        <v>GENEPIO:0100558</v>
      </c>
      <c r="F161" s="29" t="str">
        <f>IFERROR(__xludf.DUMMYFUNCTION("""COMPUTED_VALUE"""),"The version number of the method used to assess whether a sequence passed a predetermined quality control threshold.")</f>
        <v>The version number of the method used to assess whether a sequence passed a predetermined quality control threshold.</v>
      </c>
      <c r="G161" s="29" t="str">
        <f>IFERROR(__xludf.DUMMYFUNCTION("""COMPUTED_VALUE"""),"Methods updates can make big differences to their outputs. Provide the version of the method used for quality control. The version can be expressed using whatever convention the developer implements (e.g. date, semantic versioning). If multiple methods we"&amp;"re used, record the version numbers in the same order as the method names. Separate the version numbers using a semi-colon.")</f>
        <v>Methods updates can make big differences to their outputs. Provide the version of the method used for quality control. The version can be expressed using whatever convention the developer implements (e.g. date, semantic versioning). If multiple methods were used, record the version numbers in the same order as the method names. Separate the version numbers using a semi-colon.</v>
      </c>
      <c r="H161" s="29" t="str">
        <f>IFERROR(__xludf.DUMMYFUNCTION("""COMPUTED_VALUE"""),"1.2.3")</f>
        <v>1.2.3</v>
      </c>
      <c r="I161" s="29"/>
      <c r="J161" s="29"/>
      <c r="K161" s="30" t="s">
        <v>19</v>
      </c>
      <c r="L161" s="30" t="s">
        <v>19</v>
      </c>
      <c r="M161" s="30" t="s">
        <v>19</v>
      </c>
      <c r="N161" s="31" t="str">
        <f>IFERROR(__xludf.DUMMYFUNCTION("""COMPUTED_VALUE"""),"Mpox;Mpox_international")</f>
        <v>Mpox;Mpox_international</v>
      </c>
    </row>
    <row r="162">
      <c r="A162" s="29" t="str">
        <f>IFERROR(__xludf.DUMMYFUNCTION("""COMPUTED_VALUE"""),"Bioinformatics and QC metrics")</f>
        <v>Bioinformatics and QC metrics</v>
      </c>
      <c r="B162" s="29" t="str">
        <f>IFERROR(__xludf.DUMMYFUNCTION("""COMPUTED_VALUE"""),"quality control determination")</f>
        <v>quality control determination</v>
      </c>
      <c r="C162" s="29"/>
      <c r="D162" s="29"/>
      <c r="E162" s="29" t="str">
        <f>IFERROR(__xludf.DUMMYFUNCTION("""COMPUTED_VALUE"""),"GENEPIO:0100559")</f>
        <v>GENEPIO:0100559</v>
      </c>
      <c r="F162" s="29" t="str">
        <f>IFERROR(__xludf.DUMMYFUNCTION("""COMPUTED_VALUE"""),"The determination of a quality control assessment.")</f>
        <v>The determination of a quality control assessment.</v>
      </c>
      <c r="G162"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62" s="29" t="str">
        <f>IFERROR(__xludf.DUMMYFUNCTION("""COMPUTED_VALUE"""),"sequence failed quality control")</f>
        <v>sequence failed quality control</v>
      </c>
      <c r="I162" s="29"/>
      <c r="J162" s="29"/>
      <c r="K162" s="30" t="s">
        <v>19</v>
      </c>
      <c r="L162" s="30" t="s">
        <v>19</v>
      </c>
      <c r="M162" s="30" t="s">
        <v>19</v>
      </c>
      <c r="N162" s="31" t="str">
        <f>IFERROR(__xludf.DUMMYFUNCTION("""COMPUTED_VALUE"""),"Mpox")</f>
        <v>Mpox</v>
      </c>
    </row>
    <row r="163">
      <c r="A163" s="29" t="str">
        <f>IFERROR(__xludf.DUMMYFUNCTION("""COMPUTED_VALUE"""),"Bioinformatics and QC metrics")</f>
        <v>Bioinformatics and QC metrics</v>
      </c>
      <c r="B163" s="29" t="str">
        <f>IFERROR(__xludf.DUMMYFUNCTION("""COMPUTED_VALUE"""),"quality control determination")</f>
        <v>quality control determination</v>
      </c>
      <c r="C163" s="29"/>
      <c r="D163" s="29"/>
      <c r="E163" s="29" t="str">
        <f>IFERROR(__xludf.DUMMYFUNCTION("""COMPUTED_VALUE"""),"GENEPIO:0100559")</f>
        <v>GENEPIO:0100559</v>
      </c>
      <c r="F163" s="29"/>
      <c r="G163" s="29"/>
      <c r="H163" s="29"/>
      <c r="I163" s="29"/>
      <c r="J163" s="29"/>
      <c r="K163" s="30" t="s">
        <v>19</v>
      </c>
      <c r="L163" s="30" t="s">
        <v>19</v>
      </c>
      <c r="M163" s="30" t="s">
        <v>19</v>
      </c>
      <c r="N163" s="31" t="str">
        <f>IFERROR(__xludf.DUMMYFUNCTION("""COMPUTED_VALUE"""),"Mpox_international")</f>
        <v>Mpox_international</v>
      </c>
    </row>
    <row r="164">
      <c r="A164" s="29" t="str">
        <f>IFERROR(__xludf.DUMMYFUNCTION("""COMPUTED_VALUE"""),"Bioinformatics and QC metrics")</f>
        <v>Bioinformatics and QC metrics</v>
      </c>
      <c r="B164" s="29" t="str">
        <f>IFERROR(__xludf.DUMMYFUNCTION("""COMPUTED_VALUE"""),"quality control issues")</f>
        <v>quality control issues</v>
      </c>
      <c r="C164" s="29"/>
      <c r="D164" s="29"/>
      <c r="E164" s="29" t="str">
        <f>IFERROR(__xludf.DUMMYFUNCTION("""COMPUTED_VALUE"""),"GENEPIO:0100560")</f>
        <v>GENEPIO:0100560</v>
      </c>
      <c r="F164" s="29" t="str">
        <f>IFERROR(__xludf.DUMMYFUNCTION("""COMPUTED_VALUE"""),"The reason contributing to, or causing, a low quality determination in a quality control assessment.")</f>
        <v>The reason contributing to, or causing, a low quality determination in a quality control assessment.</v>
      </c>
      <c r="G164" s="29" t="str">
        <f>IFERROR(__xludf.DUMMYFUNCTION("""COMPUTED_VALUE"""),"Select a value from the pick list provided. If a desired value is missing, submit a new term request to the PHA4GE QC Tag GitHub issuetracker using the New Term Request form.")</f>
        <v>Select a value from the pick list provided. If a desired value is missing, submit a new term request to the PHA4GE QC Tag GitHub issuetracker using the New Term Request form.</v>
      </c>
      <c r="H164" s="29" t="str">
        <f>IFERROR(__xludf.DUMMYFUNCTION("""COMPUTED_VALUE"""),"low average genome coverage")</f>
        <v>low average genome coverage</v>
      </c>
      <c r="I164" s="29"/>
      <c r="J164" s="29"/>
      <c r="K164" s="30" t="s">
        <v>19</v>
      </c>
      <c r="L164" s="30" t="s">
        <v>19</v>
      </c>
      <c r="M164" s="30" t="s">
        <v>19</v>
      </c>
      <c r="N164" s="31" t="str">
        <f>IFERROR(__xludf.DUMMYFUNCTION("""COMPUTED_VALUE"""),"Mpox")</f>
        <v>Mpox</v>
      </c>
    </row>
    <row r="165">
      <c r="A165" s="29" t="str">
        <f>IFERROR(__xludf.DUMMYFUNCTION("""COMPUTED_VALUE"""),"Bioinformatics and QC metrics")</f>
        <v>Bioinformatics and QC metrics</v>
      </c>
      <c r="B165" s="29" t="str">
        <f>IFERROR(__xludf.DUMMYFUNCTION("""COMPUTED_VALUE"""),"quality control issues")</f>
        <v>quality control issues</v>
      </c>
      <c r="C165" s="29"/>
      <c r="D165" s="29"/>
      <c r="E165" s="29" t="str">
        <f>IFERROR(__xludf.DUMMYFUNCTION("""COMPUTED_VALUE"""),"GENEPIO:0100560")</f>
        <v>GENEPIO:0100560</v>
      </c>
      <c r="F165" s="29"/>
      <c r="G165" s="29"/>
      <c r="H165" s="29"/>
      <c r="I165" s="29"/>
      <c r="J165" s="29"/>
      <c r="K165" s="30" t="s">
        <v>19</v>
      </c>
      <c r="L165" s="30" t="s">
        <v>19</v>
      </c>
      <c r="M165" s="30" t="s">
        <v>19</v>
      </c>
      <c r="N165" s="31" t="str">
        <f>IFERROR(__xludf.DUMMYFUNCTION("""COMPUTED_VALUE"""),"Mpox_international")</f>
        <v>Mpox_international</v>
      </c>
    </row>
    <row r="166">
      <c r="A166" s="29" t="str">
        <f>IFERROR(__xludf.DUMMYFUNCTION("""COMPUTED_VALUE"""),"Bioinformatics and QC metrics")</f>
        <v>Bioinformatics and QC metrics</v>
      </c>
      <c r="B166" s="29" t="str">
        <f>IFERROR(__xludf.DUMMYFUNCTION("""COMPUTED_VALUE"""),"quality control details")</f>
        <v>quality control details</v>
      </c>
      <c r="C166" s="29"/>
      <c r="D166" s="29"/>
      <c r="E166" s="29" t="str">
        <f>IFERROR(__xludf.DUMMYFUNCTION("""COMPUTED_VALUE"""),"GENEPIO:0100561")</f>
        <v>GENEPIO:0100561</v>
      </c>
      <c r="F166" s="29" t="str">
        <f>IFERROR(__xludf.DUMMYFUNCTION("""COMPUTED_VALUE"""),"The details surrounding a low quality determination in a quality control assessment.")</f>
        <v>The details surrounding a low quality determination in a quality control assessment.</v>
      </c>
      <c r="G166" s="29" t="str">
        <f>IFERROR(__xludf.DUMMYFUNCTION("""COMPUTED_VALUE"""),"Provide notes or details regarding QC results using free text.")</f>
        <v>Provide notes or details regarding QC results using free text.</v>
      </c>
      <c r="H166" s="29" t="str">
        <f>IFERROR(__xludf.DUMMYFUNCTION("""COMPUTED_VALUE"""),"CT value of 39. Low viral load. Low DNA concentration after amplification.")</f>
        <v>CT value of 39. Low viral load. Low DNA concentration after amplification.</v>
      </c>
      <c r="I166" s="29"/>
      <c r="J166" s="29"/>
      <c r="K166" s="30" t="s">
        <v>19</v>
      </c>
      <c r="L166" s="30" t="s">
        <v>19</v>
      </c>
      <c r="M166" s="30" t="s">
        <v>19</v>
      </c>
      <c r="N166" s="31" t="str">
        <f>IFERROR(__xludf.DUMMYFUNCTION("""COMPUTED_VALUE"""),"Mpox;Mpox_international")</f>
        <v>Mpox;Mpox_international</v>
      </c>
    </row>
    <row r="167">
      <c r="A167" s="29" t="str">
        <f>IFERROR(__xludf.DUMMYFUNCTION("""COMPUTED_VALUE"""),"Bioinformatics and QC metrics")</f>
        <v>Bioinformatics and QC metrics</v>
      </c>
      <c r="B167" s="29" t="str">
        <f>IFERROR(__xludf.DUMMYFUNCTION("""COMPUTED_VALUE"""),"raw sequence data processing method")</f>
        <v>raw sequence data processing method</v>
      </c>
      <c r="C167" s="29" t="b">
        <f>IFERROR(__xludf.DUMMYFUNCTION("""COMPUTED_VALUE"""),TRUE)</f>
        <v>1</v>
      </c>
      <c r="D167" s="29" t="str">
        <f>IFERROR(__xludf.DUMMYFUNCTION("""COMPUTED_VALUE"""),"")</f>
        <v/>
      </c>
      <c r="E167" s="29" t="str">
        <f>IFERROR(__xludf.DUMMYFUNCTION("""COMPUTED_VALUE"""),"GENEPIO:0001458")</f>
        <v>GENEPIO:0001458</v>
      </c>
      <c r="F167"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67" s="29" t="str">
        <f>IFERROR(__xludf.DUMMYFUNCTION("""COMPUTED_VALUE"""),"Provide the software name followed by the version e.g. Trimmomatic v. 0.38, Porechop v. 0.2.3")</f>
        <v>Provide the software name followed by the version e.g. Trimmomatic v. 0.38, Porechop v. 0.2.3</v>
      </c>
      <c r="H167" s="29" t="str">
        <f>IFERROR(__xludf.DUMMYFUNCTION("""COMPUTED_VALUE"""),"Porechop 0.2.3")</f>
        <v>Porechop 0.2.3</v>
      </c>
      <c r="I167" s="29"/>
      <c r="J167" s="29"/>
      <c r="K167" s="30" t="s">
        <v>19</v>
      </c>
      <c r="L167" s="30" t="s">
        <v>19</v>
      </c>
      <c r="M167" s="30" t="s">
        <v>19</v>
      </c>
      <c r="N167" s="31" t="str">
        <f>IFERROR(__xludf.DUMMYFUNCTION("""COMPUTED_VALUE"""),"Mpox")</f>
        <v>Mpox</v>
      </c>
    </row>
    <row r="168">
      <c r="A168" s="29" t="str">
        <f>IFERROR(__xludf.DUMMYFUNCTION("""COMPUTED_VALUE"""),"Bioinformatics and QC metrics")</f>
        <v>Bioinformatics and QC metrics</v>
      </c>
      <c r="B168" s="29" t="str">
        <f>IFERROR(__xludf.DUMMYFUNCTION("""COMPUTED_VALUE"""),"raw sequence data processing method")</f>
        <v>raw sequence data processing method</v>
      </c>
      <c r="C168" s="29"/>
      <c r="D168" s="29" t="str">
        <f>IFERROR(__xludf.DUMMYFUNCTION("""COMPUTED_VALUE"""),"")</f>
        <v/>
      </c>
      <c r="E168" s="29" t="str">
        <f>IFERROR(__xludf.DUMMYFUNCTION("""COMPUTED_VALUE"""),"GENEPIO:0001458")</f>
        <v>GENEPIO:0001458</v>
      </c>
      <c r="F168" s="29" t="str">
        <f>IFERROR(__xludf.DUMMYFUNCTION("""COMPUTED_VALUE"""),"The names of the software and version number used for raw data processing such as removing barcodes, adapter trimming, filtering etc.")</f>
        <v>The names of the software and version number used for raw data processing such as removing barcodes, adapter trimming, filtering etc.</v>
      </c>
      <c r="G168" s="29" t="str">
        <f>IFERROR(__xludf.DUMMYFUNCTION("""COMPUTED_VALUE"""),"Provide the software name followed by the version e.g. Trimmomatic v. 0.38, Porechop v. 0.2.3")</f>
        <v>Provide the software name followed by the version e.g. Trimmomatic v. 0.38, Porechop v. 0.2.3</v>
      </c>
      <c r="H168" s="29" t="str">
        <f>IFERROR(__xludf.DUMMYFUNCTION("""COMPUTED_VALUE"""),"Porechop 0.2.3")</f>
        <v>Porechop 0.2.3</v>
      </c>
      <c r="I168" s="29"/>
      <c r="J168" s="29"/>
      <c r="K168" s="30" t="s">
        <v>19</v>
      </c>
      <c r="L168" s="30" t="s">
        <v>19</v>
      </c>
      <c r="M168" s="30" t="s">
        <v>19</v>
      </c>
      <c r="N168" s="31" t="str">
        <f>IFERROR(__xludf.DUMMYFUNCTION("""COMPUTED_VALUE"""),"Mpox_international")</f>
        <v>Mpox_international</v>
      </c>
    </row>
    <row r="169">
      <c r="A169" s="29" t="str">
        <f>IFERROR(__xludf.DUMMYFUNCTION("""COMPUTED_VALUE"""),"Bioinformatics and QC metrics")</f>
        <v>Bioinformatics and QC metrics</v>
      </c>
      <c r="B169" s="29" t="str">
        <f>IFERROR(__xludf.DUMMYFUNCTION("""COMPUTED_VALUE"""),"dehosting method")</f>
        <v>dehosting method</v>
      </c>
      <c r="C169" s="29" t="b">
        <f>IFERROR(__xludf.DUMMYFUNCTION("""COMPUTED_VALUE"""),TRUE)</f>
        <v>1</v>
      </c>
      <c r="D169" s="29" t="str">
        <f>IFERROR(__xludf.DUMMYFUNCTION("""COMPUTED_VALUE"""),"")</f>
        <v/>
      </c>
      <c r="E169" s="29" t="str">
        <f>IFERROR(__xludf.DUMMYFUNCTION("""COMPUTED_VALUE"""),"GENEPIO:0001459")</f>
        <v>GENEPIO:0001459</v>
      </c>
      <c r="F169" s="29" t="str">
        <f>IFERROR(__xludf.DUMMYFUNCTION("""COMPUTED_VALUE"""),"The method used to remove host reads from the pathogen sequence.")</f>
        <v>The method used to remove host reads from the pathogen sequence.</v>
      </c>
      <c r="G169" s="29" t="str">
        <f>IFERROR(__xludf.DUMMYFUNCTION("""COMPUTED_VALUE"""),"Provide the name and version number of the software used to remove host reads.")</f>
        <v>Provide the name and version number of the software used to remove host reads.</v>
      </c>
      <c r="H169" s="29" t="str">
        <f>IFERROR(__xludf.DUMMYFUNCTION("""COMPUTED_VALUE"""),"Nanostripper")</f>
        <v>Nanostripper</v>
      </c>
      <c r="I169" s="29"/>
      <c r="J169" s="29"/>
      <c r="K169" s="30" t="s">
        <v>19</v>
      </c>
      <c r="L169" s="30" t="s">
        <v>19</v>
      </c>
      <c r="M169" s="30" t="s">
        <v>19</v>
      </c>
      <c r="N169" s="31" t="str">
        <f>IFERROR(__xludf.DUMMYFUNCTION("""COMPUTED_VALUE"""),"Mpox")</f>
        <v>Mpox</v>
      </c>
    </row>
    <row r="170">
      <c r="A170" s="29" t="str">
        <f>IFERROR(__xludf.DUMMYFUNCTION("""COMPUTED_VALUE"""),"Bioinformatics and QC metrics")</f>
        <v>Bioinformatics and QC metrics</v>
      </c>
      <c r="B170" s="29" t="str">
        <f>IFERROR(__xludf.DUMMYFUNCTION("""COMPUTED_VALUE"""),"dehosting method")</f>
        <v>dehosting method</v>
      </c>
      <c r="C170" s="29"/>
      <c r="D170" s="29" t="str">
        <f>IFERROR(__xludf.DUMMYFUNCTION("""COMPUTED_VALUE"""),"")</f>
        <v/>
      </c>
      <c r="E170" s="29" t="str">
        <f>IFERROR(__xludf.DUMMYFUNCTION("""COMPUTED_VALUE"""),"GENEPIO:0001459")</f>
        <v>GENEPIO:0001459</v>
      </c>
      <c r="F170" s="29" t="str">
        <f>IFERROR(__xludf.DUMMYFUNCTION("""COMPUTED_VALUE"""),"The method used to remove host reads from the pathogen sequence.")</f>
        <v>The method used to remove host reads from the pathogen sequence.</v>
      </c>
      <c r="G170" s="29" t="str">
        <f>IFERROR(__xludf.DUMMYFUNCTION("""COMPUTED_VALUE"""),"Provide the name and version number of the software used to remove host reads.")</f>
        <v>Provide the name and version number of the software used to remove host reads.</v>
      </c>
      <c r="H170" s="29" t="str">
        <f>IFERROR(__xludf.DUMMYFUNCTION("""COMPUTED_VALUE"""),"Nanostripper")</f>
        <v>Nanostripper</v>
      </c>
      <c r="I170" s="29"/>
      <c r="J170" s="29"/>
      <c r="K170" s="30" t="s">
        <v>19</v>
      </c>
      <c r="L170" s="30" t="s">
        <v>19</v>
      </c>
      <c r="M170" s="30" t="s">
        <v>19</v>
      </c>
      <c r="N170" s="31" t="str">
        <f>IFERROR(__xludf.DUMMYFUNCTION("""COMPUTED_VALUE"""),"Mpox_international")</f>
        <v>Mpox_international</v>
      </c>
    </row>
    <row r="171">
      <c r="A171" s="29" t="str">
        <f>IFERROR(__xludf.DUMMYFUNCTION("""COMPUTED_VALUE"""),"Bioinformatics and QC metrics")</f>
        <v>Bioinformatics and QC metrics</v>
      </c>
      <c r="B171" s="29" t="str">
        <f>IFERROR(__xludf.DUMMYFUNCTION("""COMPUTED_VALUE"""),"deduplication method")</f>
        <v>deduplication method</v>
      </c>
      <c r="C171" s="29"/>
      <c r="D171" s="29"/>
      <c r="E171" s="33" t="str">
        <f>IFERROR(__xludf.DUMMYFUNCTION("""COMPUTED_VALUE"""),"GENEPIO:0100831")</f>
        <v>GENEPIO:0100831</v>
      </c>
      <c r="F171" s="29" t="str">
        <f>IFERROR(__xludf.DUMMYFUNCTION("""COMPUTED_VALUE"""),"The method used to remove duplicated reads in a sequence read dataset.")</f>
        <v>The method used to remove duplicated reads in a sequence read dataset.</v>
      </c>
      <c r="G171" s="29" t="str">
        <f>IFERROR(__xludf.DUMMYFUNCTION("""COMPUTED_VALUE"""),"Provide the deduplication software name followed by the version, or a link to a tool or method.")</f>
        <v>Provide the deduplication software name followed by the version, or a link to a tool or method.</v>
      </c>
      <c r="H171" s="29" t="str">
        <f>IFERROR(__xludf.DUMMYFUNCTION("""COMPUTED_VALUE"""),"DeDup 0.12.8")</f>
        <v>DeDup 0.12.8</v>
      </c>
      <c r="I171" s="29"/>
      <c r="J171" s="29"/>
      <c r="K171" s="30" t="s">
        <v>19</v>
      </c>
      <c r="L171" s="30" t="s">
        <v>19</v>
      </c>
      <c r="M171" s="30" t="s">
        <v>19</v>
      </c>
      <c r="N171" s="31" t="str">
        <f>IFERROR(__xludf.DUMMYFUNCTION("""COMPUTED_VALUE"""),"Mpox;Mpox_international")</f>
        <v>Mpox;Mpox_international</v>
      </c>
    </row>
    <row r="172">
      <c r="A172" s="29" t="str">
        <f>IFERROR(__xludf.DUMMYFUNCTION("""COMPUTED_VALUE"""),"Bioinformatics and QC metrics")</f>
        <v>Bioinformatics and QC metrics</v>
      </c>
      <c r="B172" s="29" t="str">
        <f>IFERROR(__xludf.DUMMYFUNCTION("""COMPUTED_VALUE"""),"consensus sequence name")</f>
        <v>consensus sequence name</v>
      </c>
      <c r="C172" s="29"/>
      <c r="D172" s="29"/>
      <c r="E172" s="29" t="str">
        <f>IFERROR(__xludf.DUMMYFUNCTION("""COMPUTED_VALUE"""),"GENEPIO:0001460")</f>
        <v>GENEPIO:0001460</v>
      </c>
      <c r="F172" s="29" t="str">
        <f>IFERROR(__xludf.DUMMYFUNCTION("""COMPUTED_VALUE"""),"The name of the consensus sequence.")</f>
        <v>The name of the consensus sequence.</v>
      </c>
      <c r="G172" s="29" t="str">
        <f>IFERROR(__xludf.DUMMYFUNCTION("""COMPUTED_VALUE"""),"Provide the name and version number of the consensus sequence.")</f>
        <v>Provide the name and version number of the consensus sequence.</v>
      </c>
      <c r="H172" s="29" t="str">
        <f>IFERROR(__xludf.DUMMYFUNCTION("""COMPUTED_VALUE"""),"mpxvassembly3")</f>
        <v>mpxvassembly3</v>
      </c>
      <c r="I172" s="29"/>
      <c r="J172" s="29"/>
      <c r="K172" s="30" t="s">
        <v>19</v>
      </c>
      <c r="L172" s="30" t="s">
        <v>19</v>
      </c>
      <c r="M172" s="30" t="s">
        <v>19</v>
      </c>
      <c r="N172" s="31" t="str">
        <f>IFERROR(__xludf.DUMMYFUNCTION("""COMPUTED_VALUE"""),"Mpox;Mpox_international")</f>
        <v>Mpox;Mpox_international</v>
      </c>
    </row>
    <row r="173">
      <c r="A173" s="29" t="str">
        <f>IFERROR(__xludf.DUMMYFUNCTION("""COMPUTED_VALUE"""),"Bioinformatics and QC metrics")</f>
        <v>Bioinformatics and QC metrics</v>
      </c>
      <c r="B173" s="29" t="str">
        <f>IFERROR(__xludf.DUMMYFUNCTION("""COMPUTED_VALUE"""),"genome sequence file name")</f>
        <v>genome sequence file name</v>
      </c>
      <c r="C173" s="29"/>
      <c r="D173" s="29"/>
      <c r="E173" s="33" t="str">
        <f>IFERROR(__xludf.DUMMYFUNCTION("""COMPUTED_VALUE"""),"GENEPIO:0101715")</f>
        <v>GENEPIO:0101715</v>
      </c>
      <c r="F173" s="29" t="str">
        <f>IFERROR(__xludf.DUMMYFUNCTION("""COMPUTED_VALUE"""),"The name of the consensus sequence file.")</f>
        <v>The name of the consensus sequence file.</v>
      </c>
      <c r="G173" s="29" t="str">
        <f>IFERROR(__xludf.DUMMYFUNCTION("""COMPUTED_VALUE"""),"Provide the name and version number, with the file extension, of the processed genome sequence file e.g. a consensus sequence FASTA file or a genome assembly file.")</f>
        <v>Provide the name and version number, with the file extension, of the processed genome sequence file e.g. a consensus sequence FASTA file or a genome assembly file.</v>
      </c>
      <c r="H173" s="29" t="str">
        <f>IFERROR(__xludf.DUMMYFUNCTION("""COMPUTED_VALUE"""),"mpxvassembly.fasta")</f>
        <v>mpxvassembly.fasta</v>
      </c>
      <c r="I173" s="29"/>
      <c r="J173" s="29"/>
      <c r="K173" s="30" t="s">
        <v>20</v>
      </c>
      <c r="L173" s="30" t="s">
        <v>20</v>
      </c>
      <c r="M173" s="30" t="s">
        <v>20</v>
      </c>
      <c r="N173" s="31" t="str">
        <f>IFERROR(__xludf.DUMMYFUNCTION("""COMPUTED_VALUE"""),"Mpox;Mpox_international")</f>
        <v>Mpox;Mpox_international</v>
      </c>
    </row>
    <row r="174">
      <c r="A174" s="29" t="str">
        <f>IFERROR(__xludf.DUMMYFUNCTION("""COMPUTED_VALUE"""),"Bioinformatics and QC metrics")</f>
        <v>Bioinformatics and QC metrics</v>
      </c>
      <c r="B174" s="29" t="str">
        <f>IFERROR(__xludf.DUMMYFUNCTION("""COMPUTED_VALUE"""),"genome sequence file path")</f>
        <v>genome sequence file path</v>
      </c>
      <c r="C174" s="29"/>
      <c r="D174" s="29"/>
      <c r="E174" s="33" t="str">
        <f>IFERROR(__xludf.DUMMYFUNCTION("""COMPUTED_VALUE"""),"GENEPIO:0101716")</f>
        <v>GENEPIO:0101716</v>
      </c>
      <c r="F174" s="29" t="str">
        <f>IFERROR(__xludf.DUMMYFUNCTION("""COMPUTED_VALUE"""),"The filepath of the consensus sequence file.")</f>
        <v>The filepath of the consensus sequence file.</v>
      </c>
      <c r="G174" s="29" t="str">
        <f>IFERROR(__xludf.DUMMYFUNCTION("""COMPUTED_VALUE"""),"Provide the filepath of the genome sequence FASTA file.")</f>
        <v>Provide the filepath of the genome sequence FASTA file.</v>
      </c>
      <c r="H174" s="29" t="str">
        <f>IFERROR(__xludf.DUMMYFUNCTION("""COMPUTED_VALUE"""),"/User/Documents/ViralLab/Data/mpxvassembly.fasta")</f>
        <v>/User/Documents/ViralLab/Data/mpxvassembly.fasta</v>
      </c>
      <c r="I174" s="29"/>
      <c r="J174" s="29"/>
      <c r="K174" s="30" t="s">
        <v>20</v>
      </c>
      <c r="L174" s="30" t="s">
        <v>20</v>
      </c>
      <c r="M174" s="30" t="s">
        <v>20</v>
      </c>
      <c r="N174" s="31" t="str">
        <f>IFERROR(__xludf.DUMMYFUNCTION("""COMPUTED_VALUE"""),"Mpox;Mpox_international")</f>
        <v>Mpox;Mpox_international</v>
      </c>
    </row>
    <row r="175">
      <c r="A175" s="29" t="str">
        <f>IFERROR(__xludf.DUMMYFUNCTION("""COMPUTED_VALUE"""),"Bioinformatics and QC metrics")</f>
        <v>Bioinformatics and QC metrics</v>
      </c>
      <c r="B175" s="29" t="str">
        <f>IFERROR(__xludf.DUMMYFUNCTION("""COMPUTED_VALUE"""),"consensus sequence software name")</f>
        <v>consensus sequence software name</v>
      </c>
      <c r="C175" s="29" t="b">
        <f>IFERROR(__xludf.DUMMYFUNCTION("""COMPUTED_VALUE"""),TRUE)</f>
        <v>1</v>
      </c>
      <c r="D175" s="29" t="str">
        <f>IFERROR(__xludf.DUMMYFUNCTION("""COMPUTED_VALUE"""),"")</f>
        <v/>
      </c>
      <c r="E175" s="29" t="str">
        <f>IFERROR(__xludf.DUMMYFUNCTION("""COMPUTED_VALUE"""),"GENEPIO:0001463")</f>
        <v>GENEPIO:0001463</v>
      </c>
      <c r="F175" s="29" t="str">
        <f>IFERROR(__xludf.DUMMYFUNCTION("""COMPUTED_VALUE"""),"The name of software used to generate the consensus sequence.")</f>
        <v>The name of software used to generate the consensus sequence.</v>
      </c>
      <c r="G175" s="29" t="str">
        <f>IFERROR(__xludf.DUMMYFUNCTION("""COMPUTED_VALUE"""),"Provide the name of the software used to generate the consensus sequence.")</f>
        <v>Provide the name of the software used to generate the consensus sequence.</v>
      </c>
      <c r="H175" s="29" t="str">
        <f>IFERROR(__xludf.DUMMYFUNCTION("""COMPUTED_VALUE"""),"iVar")</f>
        <v>iVar</v>
      </c>
      <c r="I175" s="29"/>
      <c r="J175" s="29"/>
      <c r="K175" s="30" t="s">
        <v>19</v>
      </c>
      <c r="L175" s="30" t="s">
        <v>19</v>
      </c>
      <c r="M175" s="30" t="s">
        <v>19</v>
      </c>
      <c r="N175" s="31" t="str">
        <f>IFERROR(__xludf.DUMMYFUNCTION("""COMPUTED_VALUE"""),"Mpox;Mpox_international")</f>
        <v>Mpox;Mpox_international</v>
      </c>
    </row>
    <row r="176">
      <c r="A176" s="29" t="str">
        <f>IFERROR(__xludf.DUMMYFUNCTION("""COMPUTED_VALUE"""),"Bioinformatics and QC metrics")</f>
        <v>Bioinformatics and QC metrics</v>
      </c>
      <c r="B176" s="29" t="str">
        <f>IFERROR(__xludf.DUMMYFUNCTION("""COMPUTED_VALUE"""),"consensus sequence software version")</f>
        <v>consensus sequence software version</v>
      </c>
      <c r="C176" s="29" t="b">
        <f>IFERROR(__xludf.DUMMYFUNCTION("""COMPUTED_VALUE"""),TRUE)</f>
        <v>1</v>
      </c>
      <c r="D176" s="29" t="str">
        <f>IFERROR(__xludf.DUMMYFUNCTION("""COMPUTED_VALUE"""),"")</f>
        <v/>
      </c>
      <c r="E176" s="29" t="str">
        <f>IFERROR(__xludf.DUMMYFUNCTION("""COMPUTED_VALUE"""),"GENEPIO:0001469")</f>
        <v>GENEPIO:0001469</v>
      </c>
      <c r="F176" s="29" t="str">
        <f>IFERROR(__xludf.DUMMYFUNCTION("""COMPUTED_VALUE"""),"The version of the software used to generate the consensus sequence.")</f>
        <v>The version of the software used to generate the consensus sequence.</v>
      </c>
      <c r="G176" s="29" t="str">
        <f>IFERROR(__xludf.DUMMYFUNCTION("""COMPUTED_VALUE"""),"Provide the version of the software used to generate the consensus sequence.")</f>
        <v>Provide the version of the software used to generate the consensus sequence.</v>
      </c>
      <c r="H176" s="29">
        <f>IFERROR(__xludf.DUMMYFUNCTION("""COMPUTED_VALUE"""),1.3)</f>
        <v>1.3</v>
      </c>
      <c r="I176" s="29"/>
      <c r="J176" s="29"/>
      <c r="K176" s="30" t="s">
        <v>19</v>
      </c>
      <c r="L176" s="30" t="s">
        <v>19</v>
      </c>
      <c r="M176" s="30" t="s">
        <v>19</v>
      </c>
      <c r="N176" s="31" t="str">
        <f>IFERROR(__xludf.DUMMYFUNCTION("""COMPUTED_VALUE"""),"Mpox;Mpox_international")</f>
        <v>Mpox;Mpox_international</v>
      </c>
    </row>
    <row r="177">
      <c r="A177" s="29" t="str">
        <f>IFERROR(__xludf.DUMMYFUNCTION("""COMPUTED_VALUE"""),"Bioinformatics and QC metrics")</f>
        <v>Bioinformatics and QC metrics</v>
      </c>
      <c r="B177" s="29" t="str">
        <f>IFERROR(__xludf.DUMMYFUNCTION("""COMPUTED_VALUE"""),"sequence assembly software name")</f>
        <v>sequence assembly software name</v>
      </c>
      <c r="C177" s="29" t="b">
        <f>IFERROR(__xludf.DUMMYFUNCTION("""COMPUTED_VALUE"""),TRUE)</f>
        <v>1</v>
      </c>
      <c r="D177" s="29"/>
      <c r="E177" s="33" t="str">
        <f>IFERROR(__xludf.DUMMYFUNCTION("""COMPUTED_VALUE"""),"GENEPIO:0100825")</f>
        <v>GENEPIO:0100825</v>
      </c>
      <c r="F177" s="29" t="str">
        <f>IFERROR(__xludf.DUMMYFUNCTION("""COMPUTED_VALUE"""),"The name of the software used to assemble a sequence.")</f>
        <v>The name of the software used to assemble a sequence.</v>
      </c>
      <c r="G177" s="29" t="str">
        <f>IFERROR(__xludf.DUMMYFUNCTION("""COMPUTED_VALUE"""),"Provide the name of the software used to assemble the sequence.")</f>
        <v>Provide the name of the software used to assemble the sequence.</v>
      </c>
      <c r="H177" s="44" t="str">
        <f>IFERROR(__xludf.DUMMYFUNCTION("""COMPUTED_VALUE"""),"SPAdes Genome Assembler, Canu, wtdbg2, velvet")</f>
        <v>SPAdes Genome Assembler, Canu, wtdbg2, velvet</v>
      </c>
      <c r="I177" s="29"/>
      <c r="J177" s="29"/>
      <c r="K177" s="30" t="s">
        <v>19</v>
      </c>
      <c r="L177" s="30" t="s">
        <v>19</v>
      </c>
      <c r="M177" s="30" t="s">
        <v>19</v>
      </c>
      <c r="N177" s="31" t="str">
        <f>IFERROR(__xludf.DUMMYFUNCTION("""COMPUTED_VALUE"""),"Mpox;Mpox_international")</f>
        <v>Mpox;Mpox_international</v>
      </c>
    </row>
    <row r="178">
      <c r="A178" s="29" t="str">
        <f>IFERROR(__xludf.DUMMYFUNCTION("""COMPUTED_VALUE"""),"Bioinformatics and QC metrics")</f>
        <v>Bioinformatics and QC metrics</v>
      </c>
      <c r="B178" s="29" t="str">
        <f>IFERROR(__xludf.DUMMYFUNCTION("""COMPUTED_VALUE"""),"sequence assembly software version")</f>
        <v>sequence assembly software version</v>
      </c>
      <c r="C178" s="29" t="b">
        <f>IFERROR(__xludf.DUMMYFUNCTION("""COMPUTED_VALUE"""),TRUE)</f>
        <v>1</v>
      </c>
      <c r="D178" s="29"/>
      <c r="E178" s="33" t="str">
        <f>IFERROR(__xludf.DUMMYFUNCTION("""COMPUTED_VALUE"""),"GENEPIO:0100826")</f>
        <v>GENEPIO:0100826</v>
      </c>
      <c r="F178" s="29" t="str">
        <f>IFERROR(__xludf.DUMMYFUNCTION("""COMPUTED_VALUE"""),"The version of the software used to assemble a sequence.")</f>
        <v>The version of the software used to assemble a sequence.</v>
      </c>
      <c r="G178" s="29" t="str">
        <f>IFERROR(__xludf.DUMMYFUNCTION("""COMPUTED_VALUE"""),"Provide the version of the software used to assemble the sequence.")</f>
        <v>Provide the version of the software used to assemble the sequence.</v>
      </c>
      <c r="H178" s="44" t="str">
        <f>IFERROR(__xludf.DUMMYFUNCTION("""COMPUTED_VALUE"""),"3.15.5")</f>
        <v>3.15.5</v>
      </c>
      <c r="I178" s="29"/>
      <c r="J178" s="29"/>
      <c r="K178" s="30" t="s">
        <v>19</v>
      </c>
      <c r="L178" s="30" t="s">
        <v>19</v>
      </c>
      <c r="M178" s="30" t="s">
        <v>19</v>
      </c>
      <c r="N178" s="31" t="str">
        <f>IFERROR(__xludf.DUMMYFUNCTION("""COMPUTED_VALUE"""),"Mpox;Mpox_international")</f>
        <v>Mpox;Mpox_international</v>
      </c>
    </row>
    <row r="179">
      <c r="A179" s="29" t="str">
        <f>IFERROR(__xludf.DUMMYFUNCTION("""COMPUTED_VALUE"""),"Bioinformatics and QC metrics")</f>
        <v>Bioinformatics and QC metrics</v>
      </c>
      <c r="B179" s="29" t="str">
        <f>IFERROR(__xludf.DUMMYFUNCTION("""COMPUTED_VALUE"""),"r1 fastq filename        ")</f>
        <v>r1 fastq filename        </v>
      </c>
      <c r="C179" s="29"/>
      <c r="D179" s="29" t="b">
        <f>IFERROR(__xludf.DUMMYFUNCTION("""COMPUTED_VALUE"""),TRUE)</f>
        <v>1</v>
      </c>
      <c r="E179" s="29" t="str">
        <f>IFERROR(__xludf.DUMMYFUNCTION("""COMPUTED_VALUE"""),"GENEPIO:0001476")</f>
        <v>GENEPIO:0001476</v>
      </c>
      <c r="F179" s="29" t="str">
        <f>IFERROR(__xludf.DUMMYFUNCTION("""COMPUTED_VALUE"""),"The user-specified filename of the r1 FASTQ file.")</f>
        <v>The user-specified filename of the r1 FASTQ file.</v>
      </c>
      <c r="G179" s="29" t="str">
        <f>IFERROR(__xludf.DUMMYFUNCTION("""COMPUTED_VALUE"""),"Provide the r1 FASTQ filename. This information aids in data management. ")</f>
        <v>Provide the r1 FASTQ filename. This information aids in data management. </v>
      </c>
      <c r="H179" s="29" t="str">
        <f>IFERROR(__xludf.DUMMYFUNCTION("""COMPUTED_VALUE"""),"ABC123_S1_L001_R1_001.fastq.gz")</f>
        <v>ABC123_S1_L001_R1_001.fastq.gz</v>
      </c>
      <c r="I179" s="29"/>
      <c r="J179" s="29"/>
      <c r="K179" s="30" t="s">
        <v>19</v>
      </c>
      <c r="L179" s="30" t="s">
        <v>19</v>
      </c>
      <c r="M179" s="30" t="s">
        <v>19</v>
      </c>
      <c r="N179" s="31" t="str">
        <f>IFERROR(__xludf.DUMMYFUNCTION("""COMPUTED_VALUE"""),"Mpox;Mpox_international")</f>
        <v>Mpox;Mpox_international</v>
      </c>
    </row>
    <row r="180">
      <c r="A180" s="29" t="str">
        <f>IFERROR(__xludf.DUMMYFUNCTION("""COMPUTED_VALUE"""),"Bioinformatics and QC metrics")</f>
        <v>Bioinformatics and QC metrics</v>
      </c>
      <c r="B180" s="29" t="str">
        <f>IFERROR(__xludf.DUMMYFUNCTION("""COMPUTED_VALUE"""),"r2 fastq filename")</f>
        <v>r2 fastq filename</v>
      </c>
      <c r="C180" s="29"/>
      <c r="D180" s="29" t="b">
        <f>IFERROR(__xludf.DUMMYFUNCTION("""COMPUTED_VALUE"""),TRUE)</f>
        <v>1</v>
      </c>
      <c r="E180" s="29" t="str">
        <f>IFERROR(__xludf.DUMMYFUNCTION("""COMPUTED_VALUE"""),"GENEPIO:0001477")</f>
        <v>GENEPIO:0001477</v>
      </c>
      <c r="F180" s="29" t="str">
        <f>IFERROR(__xludf.DUMMYFUNCTION("""COMPUTED_VALUE"""),"The user-specified filename of the r2 FASTQ file.")</f>
        <v>The user-specified filename of the r2 FASTQ file.</v>
      </c>
      <c r="G180" s="29" t="str">
        <f>IFERROR(__xludf.DUMMYFUNCTION("""COMPUTED_VALUE"""),"Provide the r2 FASTQ filename. This information aids in data management. ")</f>
        <v>Provide the r2 FASTQ filename. This information aids in data management. </v>
      </c>
      <c r="H180" s="29" t="str">
        <f>IFERROR(__xludf.DUMMYFUNCTION("""COMPUTED_VALUE"""),"ABC123_S1_L001_R2_001.fastq.gz")</f>
        <v>ABC123_S1_L001_R2_001.fastq.gz</v>
      </c>
      <c r="I180" s="29"/>
      <c r="J180" s="29"/>
      <c r="K180" s="30" t="s">
        <v>19</v>
      </c>
      <c r="L180" s="30" t="s">
        <v>19</v>
      </c>
      <c r="M180" s="30" t="s">
        <v>19</v>
      </c>
      <c r="N180" s="31" t="str">
        <f>IFERROR(__xludf.DUMMYFUNCTION("""COMPUTED_VALUE"""),"Mpox;Mpox_international")</f>
        <v>Mpox;Mpox_international</v>
      </c>
    </row>
    <row r="181">
      <c r="A181" s="29" t="str">
        <f>IFERROR(__xludf.DUMMYFUNCTION("""COMPUTED_VALUE"""),"Bioinformatics and QC metrics")</f>
        <v>Bioinformatics and QC metrics</v>
      </c>
      <c r="B181" s="29" t="str">
        <f>IFERROR(__xludf.DUMMYFUNCTION("""COMPUTED_VALUE"""),"r1 fastq filepath")</f>
        <v>r1 fastq filepath</v>
      </c>
      <c r="C181" s="29"/>
      <c r="D181" s="29"/>
      <c r="E181" s="29" t="str">
        <f>IFERROR(__xludf.DUMMYFUNCTION("""COMPUTED_VALUE"""),"GENEPIO:0001478")</f>
        <v>GENEPIO:0001478</v>
      </c>
      <c r="F181" s="29" t="str">
        <f>IFERROR(__xludf.DUMMYFUNCTION("""COMPUTED_VALUE"""),"The location of the r1 FASTQ file within a user's file system.")</f>
        <v>The location of the r1 FASTQ file within a user's file system.</v>
      </c>
      <c r="G181" s="29" t="str">
        <f>IFERROR(__xludf.DUMMYFUNCTION("""COMPUTED_VALUE"""),"Provide the filepath for the r1 FASTQ file. This information aids in data management. ")</f>
        <v>Provide the filepath for the r1 FASTQ file. This information aids in data management. </v>
      </c>
      <c r="H181" s="29" t="str">
        <f>IFERROR(__xludf.DUMMYFUNCTION("""COMPUTED_VALUE"""),"/User/Documents/ViralLab/Data/ABC123_S1_L001_R1_001.fastq.gz")</f>
        <v>/User/Documents/ViralLab/Data/ABC123_S1_L001_R1_001.fastq.gz</v>
      </c>
      <c r="I181" s="29"/>
      <c r="J181" s="29"/>
      <c r="K181" s="30" t="s">
        <v>19</v>
      </c>
      <c r="L181" s="30" t="s">
        <v>19</v>
      </c>
      <c r="M181" s="30" t="s">
        <v>19</v>
      </c>
      <c r="N181" s="31" t="str">
        <f>IFERROR(__xludf.DUMMYFUNCTION("""COMPUTED_VALUE"""),"Mpox;Mpox_international")</f>
        <v>Mpox;Mpox_international</v>
      </c>
    </row>
    <row r="182">
      <c r="A182" s="29" t="str">
        <f>IFERROR(__xludf.DUMMYFUNCTION("""COMPUTED_VALUE"""),"Bioinformatics and QC metrics")</f>
        <v>Bioinformatics and QC metrics</v>
      </c>
      <c r="B182" s="29" t="str">
        <f>IFERROR(__xludf.DUMMYFUNCTION("""COMPUTED_VALUE"""),"r2 fastq filepath")</f>
        <v>r2 fastq filepath</v>
      </c>
      <c r="C182" s="29"/>
      <c r="D182" s="29"/>
      <c r="E182" s="29" t="str">
        <f>IFERROR(__xludf.DUMMYFUNCTION("""COMPUTED_VALUE"""),"GENEPIO:0001479")</f>
        <v>GENEPIO:0001479</v>
      </c>
      <c r="F182" s="29" t="str">
        <f>IFERROR(__xludf.DUMMYFUNCTION("""COMPUTED_VALUE"""),"The location of the r2 FASTQ file within a user's file system.")</f>
        <v>The location of the r2 FASTQ file within a user's file system.</v>
      </c>
      <c r="G182" s="29" t="str">
        <f>IFERROR(__xludf.DUMMYFUNCTION("""COMPUTED_VALUE"""),"Provide the filepath for the r2 FASTQ file. This information aids in data management. ")</f>
        <v>Provide the filepath for the r2 FASTQ file. This information aids in data management. </v>
      </c>
      <c r="H182" s="29" t="str">
        <f>IFERROR(__xludf.DUMMYFUNCTION("""COMPUTED_VALUE"""),"/User/Documents/ViralLab/Data/ABC123_S1_L001_R2_001.fastq.gz")</f>
        <v>/User/Documents/ViralLab/Data/ABC123_S1_L001_R2_001.fastq.gz</v>
      </c>
      <c r="I182" s="29"/>
      <c r="J182" s="29"/>
      <c r="K182" s="30" t="s">
        <v>19</v>
      </c>
      <c r="L182" s="30" t="s">
        <v>19</v>
      </c>
      <c r="M182" s="30" t="s">
        <v>19</v>
      </c>
      <c r="N182" s="31" t="str">
        <f>IFERROR(__xludf.DUMMYFUNCTION("""COMPUTED_VALUE"""),"Mpox;Mpox_international")</f>
        <v>Mpox;Mpox_international</v>
      </c>
    </row>
    <row r="183">
      <c r="A183" s="29" t="str">
        <f>IFERROR(__xludf.DUMMYFUNCTION("""COMPUTED_VALUE"""),"Bioinformatics and QC metrics")</f>
        <v>Bioinformatics and QC metrics</v>
      </c>
      <c r="B183" s="29" t="str">
        <f>IFERROR(__xludf.DUMMYFUNCTION("""COMPUTED_VALUE"""),"fast5 filename")</f>
        <v>fast5 filename</v>
      </c>
      <c r="C183" s="29"/>
      <c r="D183" s="29"/>
      <c r="E183" s="29" t="str">
        <f>IFERROR(__xludf.DUMMYFUNCTION("""COMPUTED_VALUE"""),"GENEPIO:0001480")</f>
        <v>GENEPIO:0001480</v>
      </c>
      <c r="F183" s="29" t="str">
        <f>IFERROR(__xludf.DUMMYFUNCTION("""COMPUTED_VALUE"""),"The user-specified filename of the FAST5 file.")</f>
        <v>The user-specified filename of the FAST5 file.</v>
      </c>
      <c r="G183" s="29" t="str">
        <f>IFERROR(__xludf.DUMMYFUNCTION("""COMPUTED_VALUE"""),"Provide the FAST5 filename. This information aids in data management. ")</f>
        <v>Provide the FAST5 filename. This information aids in data management. </v>
      </c>
      <c r="H183" s="29" t="str">
        <f>IFERROR(__xludf.DUMMYFUNCTION("""COMPUTED_VALUE"""),"mpxv123seq.fast5")</f>
        <v>mpxv123seq.fast5</v>
      </c>
      <c r="I183" s="29"/>
      <c r="J183" s="29"/>
      <c r="K183" s="30" t="s">
        <v>19</v>
      </c>
      <c r="L183" s="30" t="s">
        <v>19</v>
      </c>
      <c r="M183" s="30" t="s">
        <v>19</v>
      </c>
      <c r="N183" s="31" t="str">
        <f>IFERROR(__xludf.DUMMYFUNCTION("""COMPUTED_VALUE"""),"Mpox;Mpox_international")</f>
        <v>Mpox;Mpox_international</v>
      </c>
    </row>
    <row r="184">
      <c r="A184" s="29" t="str">
        <f>IFERROR(__xludf.DUMMYFUNCTION("""COMPUTED_VALUE"""),"Bioinformatics and QC metrics")</f>
        <v>Bioinformatics and QC metrics</v>
      </c>
      <c r="B184" s="29" t="str">
        <f>IFERROR(__xludf.DUMMYFUNCTION("""COMPUTED_VALUE"""),"fast5 filepath")</f>
        <v>fast5 filepath</v>
      </c>
      <c r="C184" s="29"/>
      <c r="D184" s="29"/>
      <c r="E184" s="29" t="str">
        <f>IFERROR(__xludf.DUMMYFUNCTION("""COMPUTED_VALUE"""),"GENEPIO:0001481")</f>
        <v>GENEPIO:0001481</v>
      </c>
      <c r="F184" s="29" t="str">
        <f>IFERROR(__xludf.DUMMYFUNCTION("""COMPUTED_VALUE"""),"The location of the FAST5 file within a user's file system.")</f>
        <v>The location of the FAST5 file within a user's file system.</v>
      </c>
      <c r="G184" s="29" t="str">
        <f>IFERROR(__xludf.DUMMYFUNCTION("""COMPUTED_VALUE"""),"Provide the filepath for the FAST5 file. This information aids in data management. ")</f>
        <v>Provide the filepath for the FAST5 file. This information aids in data management. </v>
      </c>
      <c r="H184" s="29" t="str">
        <f>IFERROR(__xludf.DUMMYFUNCTION("""COMPUTED_VALUE"""),"/User/Documents/RespLab/Data/mpxv123seq.fast5")</f>
        <v>/User/Documents/RespLab/Data/mpxv123seq.fast5</v>
      </c>
      <c r="I184" s="29"/>
      <c r="J184" s="29"/>
      <c r="K184" s="30" t="s">
        <v>19</v>
      </c>
      <c r="L184" s="30" t="s">
        <v>19</v>
      </c>
      <c r="M184" s="30" t="s">
        <v>19</v>
      </c>
      <c r="N184" s="31" t="str">
        <f>IFERROR(__xludf.DUMMYFUNCTION("""COMPUTED_VALUE"""),"Mpox;Mpox_international")</f>
        <v>Mpox;Mpox_international</v>
      </c>
    </row>
    <row r="185">
      <c r="A185" s="29" t="str">
        <f>IFERROR(__xludf.DUMMYFUNCTION("""COMPUTED_VALUE"""),"Bioinformatics and QC metrics")</f>
        <v>Bioinformatics and QC metrics</v>
      </c>
      <c r="B185" s="29" t="str">
        <f>IFERROR(__xludf.DUMMYFUNCTION("""COMPUTED_VALUE"""),"number of total reads")</f>
        <v>number of total reads</v>
      </c>
      <c r="C185" s="29"/>
      <c r="D185" s="29"/>
      <c r="E185" s="33" t="str">
        <f>IFERROR(__xludf.DUMMYFUNCTION("""COMPUTED_VALUE"""),"GENEPIO:0100827")</f>
        <v>GENEPIO:0100827</v>
      </c>
      <c r="F185" s="29" t="str">
        <f>IFERROR(__xludf.DUMMYFUNCTION("""COMPUTED_VALUE"""),"The total number of non-unique reads generated by the sequencing process.")</f>
        <v>The total number of non-unique reads generated by the sequencing process.</v>
      </c>
      <c r="G185" s="29" t="str">
        <f>IFERROR(__xludf.DUMMYFUNCTION("""COMPUTED_VALUE"""),"Provide a numerical value (no need to include units).")</f>
        <v>Provide a numerical value (no need to include units).</v>
      </c>
      <c r="H185" s="29">
        <f>IFERROR(__xludf.DUMMYFUNCTION("""COMPUTED_VALUE"""),423867.0)</f>
        <v>423867</v>
      </c>
      <c r="I185" s="29"/>
      <c r="J185" s="29"/>
      <c r="K185" s="30" t="s">
        <v>19</v>
      </c>
      <c r="L185" s="30" t="s">
        <v>19</v>
      </c>
      <c r="M185" s="30" t="s">
        <v>19</v>
      </c>
      <c r="N185" s="31" t="str">
        <f>IFERROR(__xludf.DUMMYFUNCTION("""COMPUTED_VALUE"""),"Mpox;Mpox_international")</f>
        <v>Mpox;Mpox_international</v>
      </c>
    </row>
    <row r="186">
      <c r="A186" s="29" t="str">
        <f>IFERROR(__xludf.DUMMYFUNCTION("""COMPUTED_VALUE"""),"Bioinformatics and QC metrics")</f>
        <v>Bioinformatics and QC metrics</v>
      </c>
      <c r="B186" s="29" t="str">
        <f>IFERROR(__xludf.DUMMYFUNCTION("""COMPUTED_VALUE"""),"number of unique reads")</f>
        <v>number of unique reads</v>
      </c>
      <c r="C186" s="29"/>
      <c r="D186" s="29"/>
      <c r="E186" s="33" t="str">
        <f>IFERROR(__xludf.DUMMYFUNCTION("""COMPUTED_VALUE"""),"GENEPIO:0100828")</f>
        <v>GENEPIO:0100828</v>
      </c>
      <c r="F186" s="29" t="str">
        <f>IFERROR(__xludf.DUMMYFUNCTION("""COMPUTED_VALUE"""),"The number of unique reads generated by the sequencing process.")</f>
        <v>The number of unique reads generated by the sequencing process.</v>
      </c>
      <c r="G186" s="29" t="str">
        <f>IFERROR(__xludf.DUMMYFUNCTION("""COMPUTED_VALUE"""),"Provide a numerical value (no need to include units).")</f>
        <v>Provide a numerical value (no need to include units).</v>
      </c>
      <c r="H186" s="29">
        <f>IFERROR(__xludf.DUMMYFUNCTION("""COMPUTED_VALUE"""),248236.0)</f>
        <v>248236</v>
      </c>
      <c r="I186" s="29"/>
      <c r="J186" s="29"/>
      <c r="K186" s="30" t="s">
        <v>19</v>
      </c>
      <c r="L186" s="30" t="s">
        <v>19</v>
      </c>
      <c r="M186" s="30" t="s">
        <v>19</v>
      </c>
      <c r="N186" s="31" t="str">
        <f>IFERROR(__xludf.DUMMYFUNCTION("""COMPUTED_VALUE"""),"Mpox;Mpox_international")</f>
        <v>Mpox;Mpox_international</v>
      </c>
    </row>
    <row r="187">
      <c r="A187" s="29" t="str">
        <f>IFERROR(__xludf.DUMMYFUNCTION("""COMPUTED_VALUE"""),"Bioinformatics and QC metrics")</f>
        <v>Bioinformatics and QC metrics</v>
      </c>
      <c r="B187" s="29" t="str">
        <f>IFERROR(__xludf.DUMMYFUNCTION("""COMPUTED_VALUE"""),"minimum post-trimming read length")</f>
        <v>minimum post-trimming read length</v>
      </c>
      <c r="C187" s="29"/>
      <c r="D187" s="29"/>
      <c r="E187" s="33" t="str">
        <f>IFERROR(__xludf.DUMMYFUNCTION("""COMPUTED_VALUE"""),"GENEPIO:0100829")</f>
        <v>GENEPIO:0100829</v>
      </c>
      <c r="F187" s="29" t="str">
        <f>IFERROR(__xludf.DUMMYFUNCTION("""COMPUTED_VALUE"""),"The threshold used as a cut-off for the minimum length of a read after trimming.")</f>
        <v>The threshold used as a cut-off for the minimum length of a read after trimming.</v>
      </c>
      <c r="G187" s="29" t="str">
        <f>IFERROR(__xludf.DUMMYFUNCTION("""COMPUTED_VALUE"""),"Provide a numerical value (no need to include units).")</f>
        <v>Provide a numerical value (no need to include units).</v>
      </c>
      <c r="H187" s="29">
        <f>IFERROR(__xludf.DUMMYFUNCTION("""COMPUTED_VALUE"""),150.0)</f>
        <v>150</v>
      </c>
      <c r="I187" s="29"/>
      <c r="J187" s="29"/>
      <c r="K187" s="30" t="s">
        <v>19</v>
      </c>
      <c r="L187" s="30" t="s">
        <v>19</v>
      </c>
      <c r="M187" s="30" t="s">
        <v>19</v>
      </c>
      <c r="N187" s="31" t="str">
        <f>IFERROR(__xludf.DUMMYFUNCTION("""COMPUTED_VALUE"""),"Mpox;Mpox_international")</f>
        <v>Mpox;Mpox_international</v>
      </c>
    </row>
    <row r="188">
      <c r="A188" s="29" t="str">
        <f>IFERROR(__xludf.DUMMYFUNCTION("""COMPUTED_VALUE"""),"Bioinformatics and QC metrics")</f>
        <v>Bioinformatics and QC metrics</v>
      </c>
      <c r="B188" s="29" t="str">
        <f>IFERROR(__xludf.DUMMYFUNCTION("""COMPUTED_VALUE"""),"depth of coverage value")</f>
        <v>depth of coverage value</v>
      </c>
      <c r="C188" s="29" t="str">
        <f>IFERROR(__xludf.DUMMYFUNCTION("""COMPUTED_VALUE"""),"")</f>
        <v/>
      </c>
      <c r="D188" s="29" t="str">
        <f>IFERROR(__xludf.DUMMYFUNCTION("""COMPUTED_VALUE"""),"")</f>
        <v/>
      </c>
      <c r="E188" s="29" t="str">
        <f>IFERROR(__xludf.DUMMYFUNCTION("""COMPUTED_VALUE"""),"GENEPIO:0001474")</f>
        <v>GENEPIO:0001474</v>
      </c>
      <c r="F188" s="29" t="str">
        <f>IFERROR(__xludf.DUMMYFUNCTION("""COMPUTED_VALUE"""),"The average number of reads representing a given nucleotide in the reconstructed sequence.")</f>
        <v>The average number of reads representing a given nucleotide in the reconstructed sequence.</v>
      </c>
      <c r="G188" s="29" t="str">
        <f>IFERROR(__xludf.DUMMYFUNCTION("""COMPUTED_VALUE"""),"Provide value as a fold of coverage.")</f>
        <v>Provide value as a fold of coverage.</v>
      </c>
      <c r="H188" s="29" t="str">
        <f>IFERROR(__xludf.DUMMYFUNCTION("""COMPUTED_VALUE"""),"400x")</f>
        <v>400x</v>
      </c>
      <c r="I188" s="29"/>
      <c r="J188" s="29"/>
      <c r="K188" s="30" t="s">
        <v>19</v>
      </c>
      <c r="L188" s="30" t="s">
        <v>19</v>
      </c>
      <c r="M188" s="30" t="s">
        <v>19</v>
      </c>
      <c r="N188" s="31" t="str">
        <f>IFERROR(__xludf.DUMMYFUNCTION("""COMPUTED_VALUE"""),"Mpox;Mpox_international")</f>
        <v>Mpox;Mpox_international</v>
      </c>
    </row>
    <row r="189">
      <c r="A189" s="29" t="str">
        <f>IFERROR(__xludf.DUMMYFUNCTION("""COMPUTED_VALUE"""),"Bioinformatics and QC metrics")</f>
        <v>Bioinformatics and QC metrics</v>
      </c>
      <c r="B189" s="29" t="str">
        <f>IFERROR(__xludf.DUMMYFUNCTION("""COMPUTED_VALUE"""),"depth of coverage threshold")</f>
        <v>depth of coverage threshold</v>
      </c>
      <c r="C189" s="29" t="str">
        <f>IFERROR(__xludf.DUMMYFUNCTION("""COMPUTED_VALUE"""),"")</f>
        <v/>
      </c>
      <c r="D189" s="29" t="str">
        <f>IFERROR(__xludf.DUMMYFUNCTION("""COMPUTED_VALUE"""),"")</f>
        <v/>
      </c>
      <c r="E189" s="29" t="str">
        <f>IFERROR(__xludf.DUMMYFUNCTION("""COMPUTED_VALUE"""),"GENEPIO:0001475")</f>
        <v>GENEPIO:0001475</v>
      </c>
      <c r="F189" s="29" t="str">
        <f>IFERROR(__xludf.DUMMYFUNCTION("""COMPUTED_VALUE"""),"The threshold used as a cut-off for the depth of coverage.")</f>
        <v>The threshold used as a cut-off for the depth of coverage.</v>
      </c>
      <c r="G189" s="29" t="str">
        <f>IFERROR(__xludf.DUMMYFUNCTION("""COMPUTED_VALUE"""),"Provide the threshold fold coverage.")</f>
        <v>Provide the threshold fold coverage.</v>
      </c>
      <c r="H189" s="29" t="str">
        <f>IFERROR(__xludf.DUMMYFUNCTION("""COMPUTED_VALUE"""),"100x")</f>
        <v>100x</v>
      </c>
      <c r="I189" s="29"/>
      <c r="J189" s="29"/>
      <c r="K189" s="30" t="s">
        <v>19</v>
      </c>
      <c r="L189" s="30" t="s">
        <v>19</v>
      </c>
      <c r="M189" s="30" t="s">
        <v>19</v>
      </c>
      <c r="N189" s="31" t="str">
        <f>IFERROR(__xludf.DUMMYFUNCTION("""COMPUTED_VALUE"""),"Mpox;Mpox_international")</f>
        <v>Mpox;Mpox_international</v>
      </c>
    </row>
    <row r="190">
      <c r="A190" s="29" t="str">
        <f>IFERROR(__xludf.DUMMYFUNCTION("""COMPUTED_VALUE"""),"Bioinformatics and QC metrics")</f>
        <v>Bioinformatics and QC metrics</v>
      </c>
      <c r="B190" s="29" t="str">
        <f>IFERROR(__xludf.DUMMYFUNCTION("""COMPUTED_VALUE"""),"number of base pairs sequenced")</f>
        <v>number of base pairs sequenced</v>
      </c>
      <c r="C190" s="29" t="str">
        <f>IFERROR(__xludf.DUMMYFUNCTION("""COMPUTED_VALUE"""),"")</f>
        <v/>
      </c>
      <c r="D190" s="29" t="str">
        <f>IFERROR(__xludf.DUMMYFUNCTION("""COMPUTED_VALUE"""),"")</f>
        <v/>
      </c>
      <c r="E190" s="29" t="str">
        <f>IFERROR(__xludf.DUMMYFUNCTION("""COMPUTED_VALUE"""),"GENEPIO:0001482")</f>
        <v>GENEPIO:0001482</v>
      </c>
      <c r="F190" s="29" t="str">
        <f>IFERROR(__xludf.DUMMYFUNCTION("""COMPUTED_VALUE"""),"The number of total base pairs generated by the sequencing process.")</f>
        <v>The number of total base pairs generated by the sequencing process.</v>
      </c>
      <c r="G190" s="29" t="str">
        <f>IFERROR(__xludf.DUMMYFUNCTION("""COMPUTED_VALUE"""),"Provide a numerical value (no need to include units).")</f>
        <v>Provide a numerical value (no need to include units).</v>
      </c>
      <c r="H190" s="29">
        <f>IFERROR(__xludf.DUMMYFUNCTION("""COMPUTED_VALUE"""),2639019.0)</f>
        <v>2639019</v>
      </c>
      <c r="I190" s="29"/>
      <c r="J190" s="29"/>
      <c r="K190" s="30" t="s">
        <v>19</v>
      </c>
      <c r="L190" s="30" t="s">
        <v>19</v>
      </c>
      <c r="M190" s="30" t="s">
        <v>19</v>
      </c>
      <c r="N190" s="31" t="str">
        <f>IFERROR(__xludf.DUMMYFUNCTION("""COMPUTED_VALUE"""),"Mpox;Mpox_international")</f>
        <v>Mpox;Mpox_international</v>
      </c>
    </row>
    <row r="191">
      <c r="A191" s="29" t="str">
        <f>IFERROR(__xludf.DUMMYFUNCTION("""COMPUTED_VALUE"""),"Bioinformatics and QC metrics")</f>
        <v>Bioinformatics and QC metrics</v>
      </c>
      <c r="B191" s="29" t="str">
        <f>IFERROR(__xludf.DUMMYFUNCTION("""COMPUTED_VALUE"""),"consensus genome length")</f>
        <v>consensus genome length</v>
      </c>
      <c r="C191" s="29" t="str">
        <f>IFERROR(__xludf.DUMMYFUNCTION("""COMPUTED_VALUE"""),"")</f>
        <v/>
      </c>
      <c r="D191" s="29" t="str">
        <f>IFERROR(__xludf.DUMMYFUNCTION("""COMPUTED_VALUE"""),"")</f>
        <v/>
      </c>
      <c r="E191" s="29" t="str">
        <f>IFERROR(__xludf.DUMMYFUNCTION("""COMPUTED_VALUE"""),"GENEPIO:0001483")</f>
        <v>GENEPIO:0001483</v>
      </c>
      <c r="F191" s="29" t="str">
        <f>IFERROR(__xludf.DUMMYFUNCTION("""COMPUTED_VALUE"""),"Size of the reconstructed genome described as the number of base pairs.")</f>
        <v>Size of the reconstructed genome described as the number of base pairs.</v>
      </c>
      <c r="G191" s="29" t="str">
        <f>IFERROR(__xludf.DUMMYFUNCTION("""COMPUTED_VALUE"""),"Provide a numerical value (no need to include units).")</f>
        <v>Provide a numerical value (no need to include units).</v>
      </c>
      <c r="H191" s="29">
        <f>IFERROR(__xludf.DUMMYFUNCTION("""COMPUTED_VALUE"""),197063.0)</f>
        <v>197063</v>
      </c>
      <c r="I191" s="29"/>
      <c r="J191" s="29"/>
      <c r="K191" s="30" t="s">
        <v>19</v>
      </c>
      <c r="L191" s="30" t="s">
        <v>19</v>
      </c>
      <c r="M191" s="30" t="s">
        <v>19</v>
      </c>
      <c r="N191" s="31" t="str">
        <f>IFERROR(__xludf.DUMMYFUNCTION("""COMPUTED_VALUE"""),"Mpox;Mpox_international")</f>
        <v>Mpox;Mpox_international</v>
      </c>
    </row>
    <row r="192">
      <c r="A192" s="29" t="str">
        <f>IFERROR(__xludf.DUMMYFUNCTION("""COMPUTED_VALUE"""),"Bioinformatics and QC metrics")</f>
        <v>Bioinformatics and QC metrics</v>
      </c>
      <c r="B192" s="29" t="str">
        <f>IFERROR(__xludf.DUMMYFUNCTION("""COMPUTED_VALUE"""),"sequence assembly length")</f>
        <v>sequence assembly length</v>
      </c>
      <c r="C192" s="29"/>
      <c r="D192" s="29"/>
      <c r="E192" s="33" t="str">
        <f>IFERROR(__xludf.DUMMYFUNCTION("""COMPUTED_VALUE"""),"GENEPIO:0100846")</f>
        <v>GENEPIO:0100846</v>
      </c>
      <c r="F192" s="29" t="str">
        <f>IFERROR(__xludf.DUMMYFUNCTION("""COMPUTED_VALUE"""),"The length of the genome generated by assembling reads using a scaffold or by reference-based mapping.")</f>
        <v>The length of the genome generated by assembling reads using a scaffold or by reference-based mapping.</v>
      </c>
      <c r="G192" s="29" t="str">
        <f>IFERROR(__xludf.DUMMYFUNCTION("""COMPUTED_VALUE"""),"Provide a numerical value (no need to include units).")</f>
        <v>Provide a numerical value (no need to include units).</v>
      </c>
      <c r="H192" s="29">
        <f>IFERROR(__xludf.DUMMYFUNCTION("""COMPUTED_VALUE"""),34272.0)</f>
        <v>34272</v>
      </c>
      <c r="I192" s="29"/>
      <c r="J192" s="29"/>
      <c r="K192" s="30" t="s">
        <v>19</v>
      </c>
      <c r="L192" s="30" t="s">
        <v>19</v>
      </c>
      <c r="M192" s="30" t="s">
        <v>19</v>
      </c>
      <c r="N192" s="31" t="str">
        <f>IFERROR(__xludf.DUMMYFUNCTION("""COMPUTED_VALUE"""),"Mpox;Mpox_international")</f>
        <v>Mpox;Mpox_international</v>
      </c>
    </row>
    <row r="193">
      <c r="A193" s="29" t="str">
        <f>IFERROR(__xludf.DUMMYFUNCTION("""COMPUTED_VALUE"""),"Bioinformatics and QC metrics")</f>
        <v>Bioinformatics and QC metrics</v>
      </c>
      <c r="B193" s="29" t="str">
        <f>IFERROR(__xludf.DUMMYFUNCTION("""COMPUTED_VALUE"""),"number of contigs")</f>
        <v>number of contigs</v>
      </c>
      <c r="C193" s="29"/>
      <c r="D193" s="29"/>
      <c r="E193" s="33" t="str">
        <f>IFERROR(__xludf.DUMMYFUNCTION("""COMPUTED_VALUE"""),"GENEPIO:0100937")</f>
        <v>GENEPIO:0100937</v>
      </c>
      <c r="F193" s="29" t="str">
        <f>IFERROR(__xludf.DUMMYFUNCTION("""COMPUTED_VALUE"""),"The number of contigs (contiguous sequences) in a sequence assembly.")</f>
        <v>The number of contigs (contiguous sequences) in a sequence assembly.</v>
      </c>
      <c r="G193" s="29" t="str">
        <f>IFERROR(__xludf.DUMMYFUNCTION("""COMPUTED_VALUE"""),"Provide a numerical value.")</f>
        <v>Provide a numerical value.</v>
      </c>
      <c r="H193" s="29">
        <f>IFERROR(__xludf.DUMMYFUNCTION("""COMPUTED_VALUE"""),10.0)</f>
        <v>10</v>
      </c>
      <c r="I193" s="29"/>
      <c r="J193" s="29"/>
      <c r="K193" s="30" t="s">
        <v>19</v>
      </c>
      <c r="L193" s="30" t="s">
        <v>19</v>
      </c>
      <c r="M193" s="30" t="s">
        <v>19</v>
      </c>
      <c r="N193" s="31" t="str">
        <f>IFERROR(__xludf.DUMMYFUNCTION("""COMPUTED_VALUE"""),"Mpox;Mpox_international")</f>
        <v>Mpox;Mpox_international</v>
      </c>
    </row>
    <row r="194">
      <c r="A194" s="29" t="str">
        <f>IFERROR(__xludf.DUMMYFUNCTION("""COMPUTED_VALUE"""),"Bioinformatics and QC metrics")</f>
        <v>Bioinformatics and QC metrics</v>
      </c>
      <c r="B194" s="29" t="str">
        <f>IFERROR(__xludf.DUMMYFUNCTION("""COMPUTED_VALUE"""),"genome completeness")</f>
        <v>genome completeness</v>
      </c>
      <c r="C194" s="29"/>
      <c r="D194" s="29"/>
      <c r="E194" s="33" t="str">
        <f>IFERROR(__xludf.DUMMYFUNCTION("""COMPUTED_VALUE"""),"GENEPIO:0100844")</f>
        <v>GENEPIO:0100844</v>
      </c>
      <c r="F194" s="29" t="str">
        <f>IFERROR(__xludf.DUMMYFUNCTION("""COMPUTED_VALUE"""),"The percentage of expected genes identified in the genome being sequenced. Missing genes indicate missing genomic regions (incompleteness) in the data.")</f>
        <v>The percentage of expected genes identified in the genome being sequenced. Missing genes indicate missing genomic regions (incompleteness) in the data.</v>
      </c>
      <c r="G194" s="29" t="str">
        <f>IFERROR(__xludf.DUMMYFUNCTION("""COMPUTED_VALUE"""),"Provide the genome completeness as a percent (no need to include units).")</f>
        <v>Provide the genome completeness as a percent (no need to include units).</v>
      </c>
      <c r="H194" s="29">
        <f>IFERROR(__xludf.DUMMYFUNCTION("""COMPUTED_VALUE"""),85.0)</f>
        <v>85</v>
      </c>
      <c r="I194" s="29"/>
      <c r="J194" s="29"/>
      <c r="K194" s="30" t="s">
        <v>19</v>
      </c>
      <c r="L194" s="30" t="s">
        <v>19</v>
      </c>
      <c r="M194" s="30" t="s">
        <v>19</v>
      </c>
      <c r="N194" s="31" t="str">
        <f>IFERROR(__xludf.DUMMYFUNCTION("""COMPUTED_VALUE"""),"Mpox;Mpox_international")</f>
        <v>Mpox;Mpox_international</v>
      </c>
    </row>
    <row r="195">
      <c r="A195" s="29" t="str">
        <f>IFERROR(__xludf.DUMMYFUNCTION("""COMPUTED_VALUE"""),"Bioinformatics and QC metrics")</f>
        <v>Bioinformatics and QC metrics</v>
      </c>
      <c r="B195" s="29" t="str">
        <f>IFERROR(__xludf.DUMMYFUNCTION("""COMPUTED_VALUE"""),"N50")</f>
        <v>N50</v>
      </c>
      <c r="C195" s="29"/>
      <c r="D195" s="29"/>
      <c r="E195" s="33" t="str">
        <f>IFERROR(__xludf.DUMMYFUNCTION("""COMPUTED_VALUE"""),"GENEPIO:0100938")</f>
        <v>GENEPIO:0100938</v>
      </c>
      <c r="F195" s="29" t="str">
        <f>IFERROR(__xludf.DUMMYFUNCTION("""COMPUTED_VALUE"""),"The length of the shortest read that, together with other reads, represents at least 50% of the nucleotides in a set of sequences.")</f>
        <v>The length of the shortest read that, together with other reads, represents at least 50% of the nucleotides in a set of sequences.</v>
      </c>
      <c r="G195" s="29" t="str">
        <f>IFERROR(__xludf.DUMMYFUNCTION("""COMPUTED_VALUE"""),"Provide the N50 value in Mb.")</f>
        <v>Provide the N50 value in Mb.</v>
      </c>
      <c r="H195" s="29">
        <f>IFERROR(__xludf.DUMMYFUNCTION("""COMPUTED_VALUE"""),150.0)</f>
        <v>150</v>
      </c>
      <c r="I195" s="29"/>
      <c r="J195" s="29"/>
      <c r="K195" s="30" t="s">
        <v>19</v>
      </c>
      <c r="L195" s="30" t="s">
        <v>19</v>
      </c>
      <c r="M195" s="30" t="s">
        <v>19</v>
      </c>
      <c r="N195" s="31" t="str">
        <f>IFERROR(__xludf.DUMMYFUNCTION("""COMPUTED_VALUE"""),"Mpox;Mpox_international")</f>
        <v>Mpox;Mpox_international</v>
      </c>
    </row>
    <row r="196">
      <c r="A196" s="29" t="str">
        <f>IFERROR(__xludf.DUMMYFUNCTION("""COMPUTED_VALUE"""),"Bioinformatics and QC metrics")</f>
        <v>Bioinformatics and QC metrics</v>
      </c>
      <c r="B196" s="29" t="str">
        <f>IFERROR(__xludf.DUMMYFUNCTION("""COMPUTED_VALUE"""),"percent Ns across total genome length")</f>
        <v>percent Ns across total genome length</v>
      </c>
      <c r="C196" s="29"/>
      <c r="D196" s="29"/>
      <c r="E196" s="33" t="str">
        <f>IFERROR(__xludf.DUMMYFUNCTION("""COMPUTED_VALUE"""),"GENEPIO:0100830")</f>
        <v>GENEPIO:0100830</v>
      </c>
      <c r="F196" s="29" t="str">
        <f>IFERROR(__xludf.DUMMYFUNCTION("""COMPUTED_VALUE"""),"The percentage of the assembly that consists of ambiguous bases (Ns).")</f>
        <v>The percentage of the assembly that consists of ambiguous bases (Ns).</v>
      </c>
      <c r="G196" s="29" t="str">
        <f>IFERROR(__xludf.DUMMYFUNCTION("""COMPUTED_VALUE"""),"Provide a numerical value (no need to include units).")</f>
        <v>Provide a numerical value (no need to include units).</v>
      </c>
      <c r="H196" s="29">
        <f>IFERROR(__xludf.DUMMYFUNCTION("""COMPUTED_VALUE"""),2.0)</f>
        <v>2</v>
      </c>
      <c r="I196" s="29"/>
      <c r="J196" s="29"/>
      <c r="K196" s="30" t="s">
        <v>19</v>
      </c>
      <c r="L196" s="30" t="s">
        <v>19</v>
      </c>
      <c r="M196" s="30" t="s">
        <v>19</v>
      </c>
      <c r="N196" s="31" t="str">
        <f>IFERROR(__xludf.DUMMYFUNCTION("""COMPUTED_VALUE"""),"Mpox;Mpox_international")</f>
        <v>Mpox;Mpox_international</v>
      </c>
    </row>
    <row r="197">
      <c r="A197" s="29" t="str">
        <f>IFERROR(__xludf.DUMMYFUNCTION("""COMPUTED_VALUE"""),"Bioinformatics and QC metrics")</f>
        <v>Bioinformatics and QC metrics</v>
      </c>
      <c r="B197" s="29" t="str">
        <f>IFERROR(__xludf.DUMMYFUNCTION("""COMPUTED_VALUE"""),"Ns per 100 kbp")</f>
        <v>Ns per 100 kbp</v>
      </c>
      <c r="C197" s="29"/>
      <c r="D197" s="29"/>
      <c r="E197" s="33" t="str">
        <f>IFERROR(__xludf.DUMMYFUNCTION("""COMPUTED_VALUE"""),"GENEPIO:0001484")</f>
        <v>GENEPIO:0001484</v>
      </c>
      <c r="F197" s="29" t="str">
        <f>IFERROR(__xludf.DUMMYFUNCTION("""COMPUTED_VALUE"""),"The number of ambiguous bases (Ns) normalized per 100 kilobasepairs (kbp).")</f>
        <v>The number of ambiguous bases (Ns) normalized per 100 kilobasepairs (kbp).</v>
      </c>
      <c r="G197" s="29" t="str">
        <f>IFERROR(__xludf.DUMMYFUNCTION("""COMPUTED_VALUE"""),"Provide a numerical value (no need to include units).")</f>
        <v>Provide a numerical value (no need to include units).</v>
      </c>
      <c r="H197" s="29">
        <f>IFERROR(__xludf.DUMMYFUNCTION("""COMPUTED_VALUE"""),342.0)</f>
        <v>342</v>
      </c>
      <c r="I197" s="29"/>
      <c r="J197" s="29"/>
      <c r="K197" s="30" t="s">
        <v>19</v>
      </c>
      <c r="L197" s="30" t="s">
        <v>19</v>
      </c>
      <c r="M197" s="30" t="s">
        <v>19</v>
      </c>
      <c r="N197" s="31" t="str">
        <f>IFERROR(__xludf.DUMMYFUNCTION("""COMPUTED_VALUE"""),"Mpox;Mpox_international")</f>
        <v>Mpox;Mpox_international</v>
      </c>
    </row>
    <row r="198">
      <c r="A198" s="29" t="str">
        <f>IFERROR(__xludf.DUMMYFUNCTION("""COMPUTED_VALUE"""),"Bioinformatics and QC metrics")</f>
        <v>Bioinformatics and QC metrics</v>
      </c>
      <c r="B198" s="29" t="str">
        <f>IFERROR(__xludf.DUMMYFUNCTION("""COMPUTED_VALUE"""),"reference genome accession")</f>
        <v>reference genome accession</v>
      </c>
      <c r="C198" s="29"/>
      <c r="D198" s="29"/>
      <c r="E198" s="29" t="str">
        <f>IFERROR(__xludf.DUMMYFUNCTION("""COMPUTED_VALUE"""),"GENEPIO:0001485")</f>
        <v>GENEPIO:0001485</v>
      </c>
      <c r="F198" s="29" t="str">
        <f>IFERROR(__xludf.DUMMYFUNCTION("""COMPUTED_VALUE"""),"A persistent, unique identifier of a genome database entry.")</f>
        <v>A persistent, unique identifier of a genome database entry.</v>
      </c>
      <c r="G198" s="29" t="str">
        <f>IFERROR(__xludf.DUMMYFUNCTION("""COMPUTED_VALUE"""),"Provide the accession number of the reference genome.")</f>
        <v>Provide the accession number of the reference genome.</v>
      </c>
      <c r="H198" s="29" t="str">
        <f>IFERROR(__xludf.DUMMYFUNCTION("""COMPUTED_VALUE"""),"NC_063383.1")</f>
        <v>NC_063383.1</v>
      </c>
      <c r="I198" s="29"/>
      <c r="J198" s="29"/>
      <c r="K198" s="29"/>
      <c r="L198" s="29"/>
      <c r="M198" s="29"/>
      <c r="N198" s="31" t="str">
        <f>IFERROR(__xludf.DUMMYFUNCTION("""COMPUTED_VALUE"""),"Mpox;Mpox_international")</f>
        <v>Mpox;Mpox_international</v>
      </c>
    </row>
    <row r="199">
      <c r="A199" s="29" t="str">
        <f>IFERROR(__xludf.DUMMYFUNCTION("""COMPUTED_VALUE"""),"Bioinformatics and QC metrics")</f>
        <v>Bioinformatics and QC metrics</v>
      </c>
      <c r="B199" s="29" t="str">
        <f>IFERROR(__xludf.DUMMYFUNCTION("""COMPUTED_VALUE"""),"bioinformatics protocol")</f>
        <v>bioinformatics protocol</v>
      </c>
      <c r="C199" s="29" t="b">
        <f>IFERROR(__xludf.DUMMYFUNCTION("""COMPUTED_VALUE"""),TRUE)</f>
        <v>1</v>
      </c>
      <c r="D199" s="29" t="str">
        <f>IFERROR(__xludf.DUMMYFUNCTION("""COMPUTED_VALUE"""),"")</f>
        <v/>
      </c>
      <c r="E199" s="29" t="str">
        <f>IFERROR(__xludf.DUMMYFUNCTION("""COMPUTED_VALUE"""),"GENEPIO:0001489")</f>
        <v>GENEPIO:0001489</v>
      </c>
      <c r="F199" s="29" t="str">
        <f>IFERROR(__xludf.DUMMYFUNCTION("""COMPUTED_VALUE"""),"A description of the overall bioinformatics strategy used.")</f>
        <v>A description of the overall bioinformatics strategy used.</v>
      </c>
      <c r="G199"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199" s="41" t="str">
        <f>IFERROR(__xludf.DUMMYFUNCTION("""COMPUTED_VALUE"""),"https://github.com/phac-nml/monkeypox-nf")</f>
        <v>https://github.com/phac-nml/monkeypox-nf</v>
      </c>
      <c r="I199" s="29"/>
      <c r="J199" s="29"/>
      <c r="K199" s="29"/>
      <c r="L199" s="29"/>
      <c r="M199" s="29"/>
      <c r="N199" s="31" t="str">
        <f>IFERROR(__xludf.DUMMYFUNCTION("""COMPUTED_VALUE"""),"Mpox")</f>
        <v>Mpox</v>
      </c>
    </row>
    <row r="200">
      <c r="A200" s="29" t="str">
        <f>IFERROR(__xludf.DUMMYFUNCTION("""COMPUTED_VALUE"""),"Bioinformatics and QC metrics")</f>
        <v>Bioinformatics and QC metrics</v>
      </c>
      <c r="B200" s="29" t="str">
        <f>IFERROR(__xludf.DUMMYFUNCTION("""COMPUTED_VALUE"""),"bioinformatics protocol")</f>
        <v>bioinformatics protocol</v>
      </c>
      <c r="C200" s="29"/>
      <c r="D200" s="29" t="str">
        <f>IFERROR(__xludf.DUMMYFUNCTION("""COMPUTED_VALUE"""),"")</f>
        <v/>
      </c>
      <c r="E200" s="29" t="str">
        <f>IFERROR(__xludf.DUMMYFUNCTION("""COMPUTED_VALUE"""),"GENEPIO:0001489")</f>
        <v>GENEPIO:0001489</v>
      </c>
      <c r="F200" s="29" t="str">
        <f>IFERROR(__xludf.DUMMYFUNCTION("""COMPUTED_VALUE"""),"A description of the overall bioinformatics strategy used.")</f>
        <v>A description of the overall bioinformatics strategy used.</v>
      </c>
      <c r="G200" s="29" t="str">
        <f>IFERROR(__xludf.DUMMYFUNCTION("""COMPUTED_VALUE"""),"Further details regarding the methods used to process raw data, and/or generate assemblies, and/or generate consensus sequences can. This information can be provided in an SOP or protocol or pipeline/workflow. Provide the name and version number of the pr"&amp;"otocol, or a GitHub link to a pipeline or workflow.")</f>
        <v>Further details regarding the methods used to process raw data, and/or generate assemblies, and/or generate consensus sequences can. This information can be provided in an SOP or protocol or pipeline/workflow. Provide the name and version number of the protocol, or a GitHub link to a pipeline or workflow.</v>
      </c>
      <c r="H200" s="41" t="str">
        <f>IFERROR(__xludf.DUMMYFUNCTION("""COMPUTED_VALUE"""),"https://github.com/phac-nml/monkeypox-nf")</f>
        <v>https://github.com/phac-nml/monkeypox-nf</v>
      </c>
      <c r="I200" s="29"/>
      <c r="J200" s="29"/>
      <c r="K200" s="30" t="s">
        <v>20</v>
      </c>
      <c r="L200" s="30" t="s">
        <v>20</v>
      </c>
      <c r="M200" s="30" t="s">
        <v>20</v>
      </c>
      <c r="N200" s="31" t="str">
        <f>IFERROR(__xludf.DUMMYFUNCTION("""COMPUTED_VALUE"""),"Mpox_international")</f>
        <v>Mpox_international</v>
      </c>
    </row>
    <row r="201">
      <c r="A201" s="29"/>
      <c r="B201" s="29"/>
      <c r="C201" s="29"/>
      <c r="D201" s="29"/>
      <c r="E201" s="29"/>
      <c r="F201" s="29"/>
      <c r="G201" s="29"/>
      <c r="H201" s="29"/>
      <c r="I201" s="29"/>
      <c r="J201" s="29"/>
      <c r="K201" s="30" t="s">
        <v>19</v>
      </c>
      <c r="L201" s="30" t="s">
        <v>19</v>
      </c>
      <c r="M201" s="30" t="s">
        <v>19</v>
      </c>
      <c r="N201" s="40"/>
    </row>
    <row r="202">
      <c r="A202" s="29"/>
      <c r="B202" s="29" t="str">
        <f>IFERROR(__xludf.DUMMYFUNCTION("""COMPUTED_VALUE"""),"Pathogen diagnostic testing")</f>
        <v>Pathogen diagnostic testing</v>
      </c>
      <c r="C202" s="29" t="str">
        <f>IFERROR(__xludf.DUMMYFUNCTION("""COMPUTED_VALUE"""),"")</f>
        <v/>
      </c>
      <c r="D202" s="29" t="str">
        <f>IFERROR(__xludf.DUMMYFUNCTION("""COMPUTED_VALUE"""),"")</f>
        <v/>
      </c>
      <c r="E202" s="29" t="str">
        <f>IFERROR(__xludf.DUMMYFUNCTION("""COMPUTED_VALUE"""),"GENEPIO:0001506")</f>
        <v>GENEPIO:0001506</v>
      </c>
      <c r="F202" s="29"/>
      <c r="G202" s="29"/>
      <c r="H202" s="29"/>
      <c r="I202" s="29"/>
      <c r="J202" s="29"/>
      <c r="K202" s="30" t="s">
        <v>19</v>
      </c>
      <c r="L202" s="30" t="s">
        <v>19</v>
      </c>
      <c r="M202" s="30" t="s">
        <v>19</v>
      </c>
      <c r="N202" s="31" t="str">
        <f>IFERROR(__xludf.DUMMYFUNCTION("""COMPUTED_VALUE"""),"Mpox;Mpox_international")</f>
        <v>Mpox;Mpox_international</v>
      </c>
    </row>
    <row r="203">
      <c r="A203" s="29" t="str">
        <f>IFERROR(__xludf.DUMMYFUNCTION("""COMPUTED_VALUE"""),"Pathogen diagnostic testing")</f>
        <v>Pathogen diagnostic testing</v>
      </c>
      <c r="B203" s="29" t="str">
        <f>IFERROR(__xludf.DUMMYFUNCTION("""COMPUTED_VALUE"""),"assay target name")</f>
        <v>assay target name</v>
      </c>
      <c r="C203" s="29"/>
      <c r="D203" s="29"/>
      <c r="E203" s="33" t="str">
        <f>IFERROR(__xludf.DUMMYFUNCTION("""COMPUTED_VALUE"""),"GENEPIO:0101206")</f>
        <v>GENEPIO:0101206</v>
      </c>
      <c r="F203" s="29" t="str">
        <f>IFERROR(__xludf.DUMMYFUNCTION("""COMPUTED_VALUE"""),"The name of the assay target used in the diagnostic RT-PCR test.")</f>
        <v>The name of the assay target used in the diagnostic RT-PCR test.</v>
      </c>
      <c r="G203" s="29" t="str">
        <f>IFERROR(__xludf.DUMMYFUNCTION("""COMPUTED_VALUE"""),"Select the name of the assay target used for the diagnostic PCR from the standardized pick list.")</f>
        <v>Select the name of the assay target used for the diagnostic PCR from the standardized pick list.</v>
      </c>
      <c r="H203" s="29" t="str">
        <f>IFERROR(__xludf.DUMMYFUNCTION("""COMPUTED_VALUE"""),"MPX (orf B6R)")</f>
        <v>MPX (orf B6R)</v>
      </c>
      <c r="I203" s="29"/>
      <c r="J203" s="29"/>
      <c r="K203" s="30" t="s">
        <v>19</v>
      </c>
      <c r="L203" s="30" t="s">
        <v>19</v>
      </c>
      <c r="M203" s="30" t="s">
        <v>19</v>
      </c>
      <c r="N203" s="36" t="str">
        <f>IFERROR(__xludf.DUMMYFUNCTION("""COMPUTED_VALUE"""),"Mpox_international")</f>
        <v>Mpox_international</v>
      </c>
    </row>
    <row r="204">
      <c r="A204" s="29" t="str">
        <f>IFERROR(__xludf.DUMMYFUNCTION("""COMPUTED_VALUE"""),"Pathogen diagnostic testing")</f>
        <v>Pathogen diagnostic testing</v>
      </c>
      <c r="B204" s="29" t="str">
        <f>IFERROR(__xludf.DUMMYFUNCTION("""COMPUTED_VALUE"""),"gene name 1")</f>
        <v>gene name 1</v>
      </c>
      <c r="C204" s="29" t="str">
        <f>IFERROR(__xludf.DUMMYFUNCTION("""COMPUTED_VALUE"""),"")</f>
        <v/>
      </c>
      <c r="D204" s="29" t="str">
        <f>IFERROR(__xludf.DUMMYFUNCTION("""COMPUTED_VALUE"""),"")</f>
        <v/>
      </c>
      <c r="E204" s="29" t="str">
        <f>IFERROR(__xludf.DUMMYFUNCTION("""COMPUTED_VALUE"""),"GENEPIO:0001507")</f>
        <v>GENEPIO:0001507</v>
      </c>
      <c r="F204" s="29" t="str">
        <f>IFERROR(__xludf.DUMMYFUNCTION("""COMPUTED_VALUE"""),"The name of the gene used in the diagnostic RT-PCR test.")</f>
        <v>The name of the gene used in the diagnostic RT-PCR test.</v>
      </c>
      <c r="G204" s="29" t="str">
        <f>IFERROR(__xludf.DUMMYFUNCTION("""COMPUTED_VALUE"""),"Select the name of the gene used for the diagnostic PCR from the standardized pick list.")</f>
        <v>Select the name of the gene used for the diagnostic PCR from the standardized pick list.</v>
      </c>
      <c r="H204" s="29" t="str">
        <f>IFERROR(__xludf.DUMMYFUNCTION("""COMPUTED_VALUE"""),"OPG190")</f>
        <v>OPG190</v>
      </c>
      <c r="I204" s="29"/>
      <c r="J204" s="29"/>
      <c r="K204" s="30" t="s">
        <v>19</v>
      </c>
      <c r="L204" s="30" t="s">
        <v>19</v>
      </c>
      <c r="M204" s="30" t="s">
        <v>19</v>
      </c>
      <c r="N204" s="36" t="str">
        <f>IFERROR(__xludf.DUMMYFUNCTION("""COMPUTED_VALUE"""),"Mpox")</f>
        <v>Mpox</v>
      </c>
    </row>
    <row r="205">
      <c r="A205" s="29" t="str">
        <f>IFERROR(__xludf.DUMMYFUNCTION("""COMPUTED_VALUE"""),"Pathogen diagnostic testing")</f>
        <v>Pathogen diagnostic testing</v>
      </c>
      <c r="B205" s="29" t="str">
        <f>IFERROR(__xludf.DUMMYFUNCTION("""COMPUTED_VALUE"""),"gene name 1")</f>
        <v>gene name 1</v>
      </c>
      <c r="C205" s="29" t="str">
        <f>IFERROR(__xludf.DUMMYFUNCTION("""COMPUTED_VALUE"""),"")</f>
        <v/>
      </c>
      <c r="D205" s="29" t="str">
        <f>IFERROR(__xludf.DUMMYFUNCTION("""COMPUTED_VALUE"""),"")</f>
        <v/>
      </c>
      <c r="E205" s="29" t="str">
        <f>IFERROR(__xludf.DUMMYFUNCTION("""COMPUTED_VALUE"""),"GENEPIO:0001507")</f>
        <v>GENEPIO:0001507</v>
      </c>
      <c r="F205" s="29" t="str">
        <f>IFERROR(__xludf.DUMMYFUNCTION("""COMPUTED_VALUE"""),"The name of the gene used in the diagnostic RT-PCR test.")</f>
        <v>The name of the gene used in the diagnostic RT-PCR test.</v>
      </c>
      <c r="G205" s="29" t="str">
        <f>IFERROR(__xludf.DUMMYFUNCTION("""COMPUTED_VALUE"""),"Select the name of the gene used for the diagnostic PCR from the standardized pick list. Standardized gene names and symbols can be found in the Gene Ontology using this look-up service: https://bit.ly/2Sq1LbI")</f>
        <v>Select the name of the gene used for the diagnostic PCR from the standardized pick list. Standardized gene names and symbols can be found in the Gene Ontology using this look-up service: https://bit.ly/2Sq1LbI</v>
      </c>
      <c r="H205" s="29" t="str">
        <f>IFERROR(__xludf.DUMMYFUNCTION("""COMPUTED_VALUE"""),"OPG190")</f>
        <v>OPG190</v>
      </c>
      <c r="I205" s="29"/>
      <c r="J205" s="29"/>
      <c r="K205" s="30" t="s">
        <v>19</v>
      </c>
      <c r="L205" s="30" t="s">
        <v>19</v>
      </c>
      <c r="M205" s="30" t="s">
        <v>19</v>
      </c>
      <c r="N205" s="36" t="str">
        <f>IFERROR(__xludf.DUMMYFUNCTION("""COMPUTED_VALUE"""),"Mpox_international")</f>
        <v>Mpox_international</v>
      </c>
    </row>
    <row r="206">
      <c r="A206" s="29" t="str">
        <f>IFERROR(__xludf.DUMMYFUNCTION("""COMPUTED_VALUE"""),"Pathogen diagnostic testing")</f>
        <v>Pathogen diagnostic testing</v>
      </c>
      <c r="B206" s="29" t="str">
        <f>IFERROR(__xludf.DUMMYFUNCTION("""COMPUTED_VALUE"""),"diagnostic pcr Ct value 1")</f>
        <v>diagnostic pcr Ct value 1</v>
      </c>
      <c r="C206" s="29" t="str">
        <f>IFERROR(__xludf.DUMMYFUNCTION("""COMPUTED_VALUE"""),"")</f>
        <v/>
      </c>
      <c r="D206" s="29" t="str">
        <f>IFERROR(__xludf.DUMMYFUNCTION("""COMPUTED_VALUE"""),"")</f>
        <v/>
      </c>
      <c r="E206" s="29" t="str">
        <f>IFERROR(__xludf.DUMMYFUNCTION("""COMPUTED_VALUE"""),"GENEPIO:0001509")</f>
        <v>GENEPIO:0001509</v>
      </c>
      <c r="F206" s="29" t="str">
        <f>IFERROR(__xludf.DUMMYFUNCTION("""COMPUTED_VALUE"""),"The Ct value result from a diagnostic SARS-CoV-2 RT-PCR test.")</f>
        <v>The Ct value result from a diagnostic SARS-CoV-2 RT-PCR test.</v>
      </c>
      <c r="G206" s="29" t="str">
        <f>IFERROR(__xludf.DUMMYFUNCTION("""COMPUTED_VALUE"""),"Provide the CT value of the sample from the diagnostic RT-PCR test.")</f>
        <v>Provide the CT value of the sample from the diagnostic RT-PCR test.</v>
      </c>
      <c r="H206" s="29">
        <f>IFERROR(__xludf.DUMMYFUNCTION("""COMPUTED_VALUE"""),21.0)</f>
        <v>21</v>
      </c>
      <c r="I206" s="29"/>
      <c r="J206" s="29"/>
      <c r="K206" s="30" t="s">
        <v>19</v>
      </c>
      <c r="L206" s="30" t="s">
        <v>19</v>
      </c>
      <c r="M206" s="30" t="s">
        <v>19</v>
      </c>
      <c r="N206" s="36" t="str">
        <f>IFERROR(__xludf.DUMMYFUNCTION("""COMPUTED_VALUE"""),"Mpox;Mpox_international")</f>
        <v>Mpox;Mpox_international</v>
      </c>
    </row>
    <row r="207">
      <c r="A207" s="29" t="str">
        <f>IFERROR(__xludf.DUMMYFUNCTION("""COMPUTED_VALUE"""),"Pathogen diagnostic testing")</f>
        <v>Pathogen diagnostic testing</v>
      </c>
      <c r="B207" s="29" t="str">
        <f>IFERROR(__xludf.DUMMYFUNCTION("""COMPUTED_VALUE"""),"gene name 2")</f>
        <v>gene name 2</v>
      </c>
      <c r="C207" s="29" t="str">
        <f>IFERROR(__xludf.DUMMYFUNCTION("""COMPUTED_VALUE"""),"")</f>
        <v/>
      </c>
      <c r="D207" s="29" t="str">
        <f>IFERROR(__xludf.DUMMYFUNCTION("""COMPUTED_VALUE"""),"")</f>
        <v/>
      </c>
      <c r="E207" s="29" t="str">
        <f>IFERROR(__xludf.DUMMYFUNCTION("""COMPUTED_VALUE"""),"GENEPIO:0001510")</f>
        <v>GENEPIO:0001510</v>
      </c>
      <c r="F207" s="29" t="str">
        <f>IFERROR(__xludf.DUMMYFUNCTION("""COMPUTED_VALUE"""),"The name of the gene used in the diagnostic RT-PCR test.")</f>
        <v>The name of the gene used in the diagnostic RT-PCR test.</v>
      </c>
      <c r="G207" s="29" t="str">
        <f>IFERROR(__xludf.DUMMYFUNCTION("""COMPUTED_VALUE"""),"Select the name of the gene used for the diagnostic PCR from the standardized pick list.")</f>
        <v>Select the name of the gene used for the diagnostic PCR from the standardized pick list.</v>
      </c>
      <c r="H207" s="29" t="str">
        <f>IFERROR(__xludf.DUMMYFUNCTION("""COMPUTED_VALUE"""),"OVP (orf 17L)")</f>
        <v>OVP (orf 17L)</v>
      </c>
      <c r="I207" s="29"/>
      <c r="J207" s="29"/>
      <c r="K207" s="30" t="s">
        <v>19</v>
      </c>
      <c r="L207" s="30" t="s">
        <v>19</v>
      </c>
      <c r="M207" s="30" t="s">
        <v>19</v>
      </c>
      <c r="N207" s="36" t="str">
        <f>IFERROR(__xludf.DUMMYFUNCTION("""COMPUTED_VALUE"""),"Mpox")</f>
        <v>Mpox</v>
      </c>
    </row>
    <row r="208">
      <c r="A208" s="29" t="str">
        <f>IFERROR(__xludf.DUMMYFUNCTION("""COMPUTED_VALUE"""),"Pathogen diagnostic testing")</f>
        <v>Pathogen diagnostic testing</v>
      </c>
      <c r="B208" s="29" t="str">
        <f>IFERROR(__xludf.DUMMYFUNCTION("""COMPUTED_VALUE"""),"gene name 2")</f>
        <v>gene name 2</v>
      </c>
      <c r="C208" s="29" t="str">
        <f>IFERROR(__xludf.DUMMYFUNCTION("""COMPUTED_VALUE"""),"")</f>
        <v/>
      </c>
      <c r="D208" s="29" t="str">
        <f>IFERROR(__xludf.DUMMYFUNCTION("""COMPUTED_VALUE"""),"")</f>
        <v/>
      </c>
      <c r="E208" s="29" t="str">
        <f>IFERROR(__xludf.DUMMYFUNCTION("""COMPUTED_VALUE"""),"GENEPIO:0001510")</f>
        <v>GENEPIO:0001510</v>
      </c>
      <c r="F208" s="29" t="str">
        <f>IFERROR(__xludf.DUMMYFUNCTION("""COMPUTED_VALUE"""),"The name of the gene used in the diagnostic RT-PCR test.")</f>
        <v>The name of the gene used in the diagnostic RT-PCR test.</v>
      </c>
      <c r="G208" s="29" t="str">
        <f>IFERROR(__xludf.DUMMYFUNCTION("""COMPUTED_VALUE"""),"Provide the full name of another gene used in an RT-PCR test. The gene symbol (short form of gene name) can also be provided. Standardized gene names and symbols can be found in the Gene Ontology using this look-up service: https://bit.ly/2Sq1LbI")</f>
        <v>Provide the full name of another gene used in an RT-PCR test. The gene symbol (short form of gene name) can also be provided. Standardized gene names and symbols can be found in the Gene Ontology using this look-up service: https://bit.ly/2Sq1LbI</v>
      </c>
      <c r="H208" s="29" t="str">
        <f>IFERROR(__xludf.DUMMYFUNCTION("""COMPUTED_VALUE"""),"OVP (orf 17L)")</f>
        <v>OVP (orf 17L)</v>
      </c>
      <c r="I208" s="29"/>
      <c r="J208" s="29"/>
      <c r="K208" s="30" t="s">
        <v>19</v>
      </c>
      <c r="L208" s="30" t="s">
        <v>19</v>
      </c>
      <c r="M208" s="30" t="s">
        <v>19</v>
      </c>
      <c r="N208" s="36" t="str">
        <f>IFERROR(__xludf.DUMMYFUNCTION("""COMPUTED_VALUE"""),"Mpox_international")</f>
        <v>Mpox_international</v>
      </c>
    </row>
    <row r="209">
      <c r="A209" s="29" t="str">
        <f>IFERROR(__xludf.DUMMYFUNCTION("""COMPUTED_VALUE"""),"Pathogen diagnostic testing")</f>
        <v>Pathogen diagnostic testing</v>
      </c>
      <c r="B209" s="29" t="str">
        <f>IFERROR(__xludf.DUMMYFUNCTION("""COMPUTED_VALUE"""),"diagnostic pcr Ct value 2")</f>
        <v>diagnostic pcr Ct value 2</v>
      </c>
      <c r="C209" s="29" t="str">
        <f>IFERROR(__xludf.DUMMYFUNCTION("""COMPUTED_VALUE"""),"")</f>
        <v/>
      </c>
      <c r="D209" s="29" t="str">
        <f>IFERROR(__xludf.DUMMYFUNCTION("""COMPUTED_VALUE"""),"")</f>
        <v/>
      </c>
      <c r="E209" s="29" t="str">
        <f>IFERROR(__xludf.DUMMYFUNCTION("""COMPUTED_VALUE"""),"GENEPIO:0001512")</f>
        <v>GENEPIO:0001512</v>
      </c>
      <c r="F209" s="29" t="str">
        <f>IFERROR(__xludf.DUMMYFUNCTION("""COMPUTED_VALUE"""),"The Ct value result from a diagnostic SARS-CoV-2 RT-PCR test.")</f>
        <v>The Ct value result from a diagnostic SARS-CoV-2 RT-PCR test.</v>
      </c>
      <c r="G209" s="29" t="str">
        <f>IFERROR(__xludf.DUMMYFUNCTION("""COMPUTED_VALUE"""),"Provide the CT value of the sample from the second diagnostic RT-PCR test.")</f>
        <v>Provide the CT value of the sample from the second diagnostic RT-PCR test.</v>
      </c>
      <c r="H209" s="29">
        <f>IFERROR(__xludf.DUMMYFUNCTION("""COMPUTED_VALUE"""),36.0)</f>
        <v>36</v>
      </c>
      <c r="I209" s="29"/>
      <c r="J209" s="29"/>
      <c r="K209" s="30" t="s">
        <v>19</v>
      </c>
      <c r="L209" s="30" t="s">
        <v>19</v>
      </c>
      <c r="M209" s="30" t="s">
        <v>19</v>
      </c>
      <c r="N209" s="36" t="str">
        <f>IFERROR(__xludf.DUMMYFUNCTION("""COMPUTED_VALUE"""),"Mpox;Mpox_international")</f>
        <v>Mpox;Mpox_international</v>
      </c>
    </row>
    <row r="210">
      <c r="A210" s="29" t="str">
        <f>IFERROR(__xludf.DUMMYFUNCTION("""COMPUTED_VALUE"""),"Pathogen diagnostic testing")</f>
        <v>Pathogen diagnostic testing</v>
      </c>
      <c r="B210" s="29" t="str">
        <f>IFERROR(__xludf.DUMMYFUNCTION("""COMPUTED_VALUE"""),"gene name 3")</f>
        <v>gene name 3</v>
      </c>
      <c r="C210" s="29" t="str">
        <f>IFERROR(__xludf.DUMMYFUNCTION("""COMPUTED_VALUE"""),"")</f>
        <v/>
      </c>
      <c r="D210" s="29" t="str">
        <f>IFERROR(__xludf.DUMMYFUNCTION("""COMPUTED_VALUE"""),"")</f>
        <v/>
      </c>
      <c r="E210" s="29" t="str">
        <f>IFERROR(__xludf.DUMMYFUNCTION("""COMPUTED_VALUE"""),"GENEPIO:0001513")</f>
        <v>GENEPIO:0001513</v>
      </c>
      <c r="F210" s="29" t="str">
        <f>IFERROR(__xludf.DUMMYFUNCTION("""COMPUTED_VALUE"""),"The name of the gene used in the diagnostic RT-PCR test.")</f>
        <v>The name of the gene used in the diagnostic RT-PCR test.</v>
      </c>
      <c r="G210" s="29" t="str">
        <f>IFERROR(__xludf.DUMMYFUNCTION("""COMPUTED_VALUE"""),"Select the name of the gene used for the diagnostic PCR from the standardized pick list.")</f>
        <v>Select the name of the gene used for the diagnostic PCR from the standardized pick list.</v>
      </c>
      <c r="H210" s="29" t="str">
        <f>IFERROR(__xludf.DUMMYFUNCTION("""COMPUTED_VALUE"""),"OPHA (orf B2R)")</f>
        <v>OPHA (orf B2R)</v>
      </c>
      <c r="I210" s="29"/>
      <c r="J210" s="29"/>
      <c r="K210" s="30" t="s">
        <v>19</v>
      </c>
      <c r="L210" s="30" t="s">
        <v>19</v>
      </c>
      <c r="M210" s="30" t="s">
        <v>19</v>
      </c>
      <c r="N210" s="36" t="str">
        <f>IFERROR(__xludf.DUMMYFUNCTION("""COMPUTED_VALUE"""),"Mpox")</f>
        <v>Mpox</v>
      </c>
    </row>
    <row r="211">
      <c r="A211" s="29" t="str">
        <f>IFERROR(__xludf.DUMMYFUNCTION("""COMPUTED_VALUE"""),"Pathogen diagnostic testing")</f>
        <v>Pathogen diagnostic testing</v>
      </c>
      <c r="B211" s="29" t="str">
        <f>IFERROR(__xludf.DUMMYFUNCTION("""COMPUTED_VALUE"""),"gene name 3")</f>
        <v>gene name 3</v>
      </c>
      <c r="C211" s="29" t="str">
        <f>IFERROR(__xludf.DUMMYFUNCTION("""COMPUTED_VALUE"""),"")</f>
        <v/>
      </c>
      <c r="D211" s="29" t="str">
        <f>IFERROR(__xludf.DUMMYFUNCTION("""COMPUTED_VALUE"""),"")</f>
        <v/>
      </c>
      <c r="E211" s="29" t="str">
        <f>IFERROR(__xludf.DUMMYFUNCTION("""COMPUTED_VALUE"""),"GENEPIO:0001513")</f>
        <v>GENEPIO:0001513</v>
      </c>
      <c r="F211" s="29" t="str">
        <f>IFERROR(__xludf.DUMMYFUNCTION("""COMPUTED_VALUE"""),"The name of the gene used in the diagnostic RT-PCR test.")</f>
        <v>The name of the gene used in the diagnostic RT-PCR test.</v>
      </c>
      <c r="G211" s="29" t="str">
        <f>IFERROR(__xludf.DUMMYFUNCTION("""COMPUTED_VALUE"""),"Provide the full name of another gene used in an RT-PCR test. The gene symbol (short form of gene name) can also be provided. Standardized gene names and symbols can be found in the Gene Ontology using this look-up service: https://bit.ly/2Sq1LbI")</f>
        <v>Provide the full name of another gene used in an RT-PCR test. The gene symbol (short form of gene name) can also be provided. Standardized gene names and symbols can be found in the Gene Ontology using this look-up service: https://bit.ly/2Sq1LbI</v>
      </c>
      <c r="H211" s="29" t="str">
        <f>IFERROR(__xludf.DUMMYFUNCTION("""COMPUTED_VALUE"""),"OPHA (orf B2R)")</f>
        <v>OPHA (orf B2R)</v>
      </c>
      <c r="I211" s="29"/>
      <c r="J211" s="29"/>
      <c r="K211" s="30" t="s">
        <v>19</v>
      </c>
      <c r="L211" s="30" t="s">
        <v>19</v>
      </c>
      <c r="M211" s="30" t="s">
        <v>19</v>
      </c>
      <c r="N211" s="36" t="str">
        <f>IFERROR(__xludf.DUMMYFUNCTION("""COMPUTED_VALUE"""),"Mpox_international")</f>
        <v>Mpox_international</v>
      </c>
    </row>
    <row r="212">
      <c r="A212" s="29" t="str">
        <f>IFERROR(__xludf.DUMMYFUNCTION("""COMPUTED_VALUE"""),"Pathogen diagnostic testing")</f>
        <v>Pathogen diagnostic testing</v>
      </c>
      <c r="B212" s="29" t="str">
        <f>IFERROR(__xludf.DUMMYFUNCTION("""COMPUTED_VALUE"""),"diagnostic pcr Ct value 3")</f>
        <v>diagnostic pcr Ct value 3</v>
      </c>
      <c r="C212" s="29" t="str">
        <f>IFERROR(__xludf.DUMMYFUNCTION("""COMPUTED_VALUE"""),"")</f>
        <v/>
      </c>
      <c r="D212" s="29" t="str">
        <f>IFERROR(__xludf.DUMMYFUNCTION("""COMPUTED_VALUE"""),"")</f>
        <v/>
      </c>
      <c r="E212" s="29" t="str">
        <f>IFERROR(__xludf.DUMMYFUNCTION("""COMPUTED_VALUE"""),"GENEPIO:0001515")</f>
        <v>GENEPIO:0001515</v>
      </c>
      <c r="F212" s="29" t="str">
        <f>IFERROR(__xludf.DUMMYFUNCTION("""COMPUTED_VALUE"""),"The Ct value result from a diagnostic SARS-CoV-2 RT-PCR test.")</f>
        <v>The Ct value result from a diagnostic SARS-CoV-2 RT-PCR test.</v>
      </c>
      <c r="G212" s="29" t="str">
        <f>IFERROR(__xludf.DUMMYFUNCTION("""COMPUTED_VALUE"""),"Provide the CT value of the sample from the second diagnostic RT-PCR test.")</f>
        <v>Provide the CT value of the sample from the second diagnostic RT-PCR test.</v>
      </c>
      <c r="H212" s="29">
        <f>IFERROR(__xludf.DUMMYFUNCTION("""COMPUTED_VALUE"""),19.0)</f>
        <v>19</v>
      </c>
      <c r="I212" s="29"/>
      <c r="J212" s="29"/>
      <c r="K212" s="30" t="s">
        <v>19</v>
      </c>
      <c r="L212" s="30" t="s">
        <v>19</v>
      </c>
      <c r="M212" s="30" t="s">
        <v>19</v>
      </c>
      <c r="N212" s="36" t="str">
        <f>IFERROR(__xludf.DUMMYFUNCTION("""COMPUTED_VALUE"""),"Mpox;Mpox_international")</f>
        <v>Mpox;Mpox_international</v>
      </c>
    </row>
    <row r="213">
      <c r="A213" s="29" t="str">
        <f>IFERROR(__xludf.DUMMYFUNCTION("""COMPUTED_VALUE"""),"Pathogen diagnostic testing")</f>
        <v>Pathogen diagnostic testing</v>
      </c>
      <c r="B213" s="29" t="str">
        <f>IFERROR(__xludf.DUMMYFUNCTION("""COMPUTED_VALUE"""),"gene name 4")</f>
        <v>gene name 4</v>
      </c>
      <c r="C213" s="29" t="str">
        <f>IFERROR(__xludf.DUMMYFUNCTION("""COMPUTED_VALUE"""),"")</f>
        <v/>
      </c>
      <c r="D213" s="29" t="str">
        <f>IFERROR(__xludf.DUMMYFUNCTION("""COMPUTED_VALUE"""),"")</f>
        <v/>
      </c>
      <c r="E213" s="29" t="str">
        <f>IFERROR(__xludf.DUMMYFUNCTION("""COMPUTED_VALUE"""),"GENEPIO:0100576")</f>
        <v>GENEPIO:0100576</v>
      </c>
      <c r="F213" s="29" t="str">
        <f>IFERROR(__xludf.DUMMYFUNCTION("""COMPUTED_VALUE"""),"The name of the gene used in the diagnostic RT-PCR test.")</f>
        <v>The name of the gene used in the diagnostic RT-PCR test.</v>
      </c>
      <c r="G213" s="29" t="str">
        <f>IFERROR(__xludf.DUMMYFUNCTION("""COMPUTED_VALUE"""),"Select the name of the gene used for the diagnostic PCR from the standardized pick list.")</f>
        <v>Select the name of the gene used for the diagnostic PCR from the standardized pick list.</v>
      </c>
      <c r="H213" s="29" t="str">
        <f>IFERROR(__xludf.DUMMYFUNCTION("""COMPUTED_VALUE"""),"G2R_G (TNFR)")</f>
        <v>G2R_G (TNFR)</v>
      </c>
      <c r="I213" s="29"/>
      <c r="J213" s="29"/>
      <c r="K213" s="30" t="s">
        <v>19</v>
      </c>
      <c r="L213" s="30" t="s">
        <v>19</v>
      </c>
      <c r="M213" s="30" t="s">
        <v>19</v>
      </c>
      <c r="N213" s="36" t="str">
        <f>IFERROR(__xludf.DUMMYFUNCTION("""COMPUTED_VALUE"""),"Mpox")</f>
        <v>Mpox</v>
      </c>
    </row>
    <row r="214">
      <c r="A214" s="29" t="str">
        <f>IFERROR(__xludf.DUMMYFUNCTION("""COMPUTED_VALUE"""),"Pathogen diagnostic testing")</f>
        <v>Pathogen diagnostic testing</v>
      </c>
      <c r="B214" s="29" t="str">
        <f>IFERROR(__xludf.DUMMYFUNCTION("""COMPUTED_VALUE"""),"diagnostic pcr Ct value 4")</f>
        <v>diagnostic pcr Ct value 4</v>
      </c>
      <c r="C214" s="29" t="str">
        <f>IFERROR(__xludf.DUMMYFUNCTION("""COMPUTED_VALUE"""),"")</f>
        <v/>
      </c>
      <c r="D214" s="29" t="str">
        <f>IFERROR(__xludf.DUMMYFUNCTION("""COMPUTED_VALUE"""),"")</f>
        <v/>
      </c>
      <c r="E214" s="29" t="str">
        <f>IFERROR(__xludf.DUMMYFUNCTION("""COMPUTED_VALUE"""),"GENEPIO:0100577")</f>
        <v>GENEPIO:0100577</v>
      </c>
      <c r="F214" s="29" t="str">
        <f>IFERROR(__xludf.DUMMYFUNCTION("""COMPUTED_VALUE"""),"The Ct value result from a diagnostic SARS-CoV-2 RT-PCR test.")</f>
        <v>The Ct value result from a diagnostic SARS-CoV-2 RT-PCR test.</v>
      </c>
      <c r="G214" s="29" t="str">
        <f>IFERROR(__xludf.DUMMYFUNCTION("""COMPUTED_VALUE"""),"Provide the CT value of the sample from the second diagnostic RT-PCR test.")</f>
        <v>Provide the CT value of the sample from the second diagnostic RT-PCR test.</v>
      </c>
      <c r="H214" s="29">
        <f>IFERROR(__xludf.DUMMYFUNCTION("""COMPUTED_VALUE"""),27.0)</f>
        <v>27</v>
      </c>
      <c r="I214" s="29"/>
      <c r="J214" s="29"/>
      <c r="K214" s="30" t="s">
        <v>19</v>
      </c>
      <c r="L214" s="30" t="s">
        <v>19</v>
      </c>
      <c r="M214" s="30" t="s">
        <v>19</v>
      </c>
      <c r="N214" s="36" t="str">
        <f>IFERROR(__xludf.DUMMYFUNCTION("""COMPUTED_VALUE"""),"Mpox")</f>
        <v>Mpox</v>
      </c>
    </row>
    <row r="215">
      <c r="A215" s="29" t="str">
        <f>IFERROR(__xludf.DUMMYFUNCTION("""COMPUTED_VALUE"""),"Pathogen diagnostic testing")</f>
        <v>Pathogen diagnostic testing</v>
      </c>
      <c r="B215" s="29" t="str">
        <f>IFERROR(__xludf.DUMMYFUNCTION("""COMPUTED_VALUE"""),"gene name 5")</f>
        <v>gene name 5</v>
      </c>
      <c r="C215" s="29" t="str">
        <f>IFERROR(__xludf.DUMMYFUNCTION("""COMPUTED_VALUE"""),"")</f>
        <v/>
      </c>
      <c r="D215" s="29" t="str">
        <f>IFERROR(__xludf.DUMMYFUNCTION("""COMPUTED_VALUE"""),"")</f>
        <v/>
      </c>
      <c r="E215" s="29" t="str">
        <f>IFERROR(__xludf.DUMMYFUNCTION("""COMPUTED_VALUE"""),"GENEPIO:0100578")</f>
        <v>GENEPIO:0100578</v>
      </c>
      <c r="F215" s="29" t="str">
        <f>IFERROR(__xludf.DUMMYFUNCTION("""COMPUTED_VALUE"""),"The name of the gene used in the diagnostic RT-PCR test.")</f>
        <v>The name of the gene used in the diagnostic RT-PCR test.</v>
      </c>
      <c r="G215" s="29" t="str">
        <f>IFERROR(__xludf.DUMMYFUNCTION("""COMPUTED_VALUE"""),"Select the name of the gene used for the diagnostic PCR from the standardized pick list.")</f>
        <v>Select the name of the gene used for the diagnostic PCR from the standardized pick list.</v>
      </c>
      <c r="H215" s="29" t="str">
        <f>IFERROR(__xludf.DUMMYFUNCTION("""COMPUTED_VALUE"""),"RNAse P")</f>
        <v>RNAse P</v>
      </c>
      <c r="I215" s="29"/>
      <c r="J215" s="29"/>
      <c r="K215" s="29"/>
      <c r="L215" s="29"/>
      <c r="M215" s="29"/>
      <c r="N215" s="36" t="str">
        <f>IFERROR(__xludf.DUMMYFUNCTION("""COMPUTED_VALUE"""),"Mpox")</f>
        <v>Mpox</v>
      </c>
    </row>
    <row r="216">
      <c r="A216" s="29" t="str">
        <f>IFERROR(__xludf.DUMMYFUNCTION("""COMPUTED_VALUE"""),"Pathogen diagnostic testing")</f>
        <v>Pathogen diagnostic testing</v>
      </c>
      <c r="B216" s="29" t="str">
        <f>IFERROR(__xludf.DUMMYFUNCTION("""COMPUTED_VALUE"""),"diagnostic pcr Ct value 5")</f>
        <v>diagnostic pcr Ct value 5</v>
      </c>
      <c r="C216" s="29" t="str">
        <f>IFERROR(__xludf.DUMMYFUNCTION("""COMPUTED_VALUE"""),"")</f>
        <v/>
      </c>
      <c r="D216" s="29" t="str">
        <f>IFERROR(__xludf.DUMMYFUNCTION("""COMPUTED_VALUE"""),"")</f>
        <v/>
      </c>
      <c r="E216" s="29" t="str">
        <f>IFERROR(__xludf.DUMMYFUNCTION("""COMPUTED_VALUE"""),"GENEPIO:0100579")</f>
        <v>GENEPIO:0100579</v>
      </c>
      <c r="F216" s="29" t="str">
        <f>IFERROR(__xludf.DUMMYFUNCTION("""COMPUTED_VALUE"""),"The Ct value result from a diagnostic SARS-CoV-2 RT-PCR test.")</f>
        <v>The Ct value result from a diagnostic SARS-CoV-2 RT-PCR test.</v>
      </c>
      <c r="G216" s="29" t="str">
        <f>IFERROR(__xludf.DUMMYFUNCTION("""COMPUTED_VALUE"""),"Provide the CT value of the sample from the second diagnostic RT-PCR test.")</f>
        <v>Provide the CT value of the sample from the second diagnostic RT-PCR test.</v>
      </c>
      <c r="H216" s="29">
        <f>IFERROR(__xludf.DUMMYFUNCTION("""COMPUTED_VALUE"""),30.0)</f>
        <v>30</v>
      </c>
      <c r="I216" s="29"/>
      <c r="J216" s="29"/>
      <c r="K216" s="30" t="s">
        <v>19</v>
      </c>
      <c r="L216" s="30" t="s">
        <v>19</v>
      </c>
      <c r="M216" s="30" t="s">
        <v>19</v>
      </c>
      <c r="N216" s="36" t="str">
        <f>IFERROR(__xludf.DUMMYFUNCTION("""COMPUTED_VALUE"""),"Mpox")</f>
        <v>Mpox</v>
      </c>
    </row>
    <row r="217">
      <c r="A217" s="29"/>
      <c r="B217" s="29"/>
      <c r="C217" s="29"/>
      <c r="D217" s="29"/>
      <c r="E217" s="29"/>
      <c r="F217" s="29"/>
      <c r="G217" s="29"/>
      <c r="H217" s="29"/>
      <c r="I217" s="29"/>
      <c r="J217" s="29"/>
      <c r="K217" s="30" t="s">
        <v>19</v>
      </c>
      <c r="L217" s="30" t="s">
        <v>19</v>
      </c>
      <c r="M217" s="30" t="s">
        <v>19</v>
      </c>
      <c r="N217" s="40"/>
    </row>
    <row r="218">
      <c r="A218" s="34"/>
      <c r="B218" s="34" t="str">
        <f>IFERROR(__xludf.DUMMYFUNCTION("""COMPUTED_VALUE"""),"Contributor acknowledgement")</f>
        <v>Contributor acknowledgement</v>
      </c>
      <c r="C218" s="34" t="str">
        <f>IFERROR(__xludf.DUMMYFUNCTION("""COMPUTED_VALUE"""),"")</f>
        <v/>
      </c>
      <c r="D218" s="34" t="str">
        <f>IFERROR(__xludf.DUMMYFUNCTION("""COMPUTED_VALUE"""),"")</f>
        <v/>
      </c>
      <c r="E218" s="34" t="str">
        <f>IFERROR(__xludf.DUMMYFUNCTION("""COMPUTED_VALUE"""),"GENEPIO:0001516")</f>
        <v>GENEPIO:0001516</v>
      </c>
      <c r="F218" s="34"/>
      <c r="G218" s="34"/>
      <c r="H218" s="34"/>
      <c r="N218" s="43"/>
    </row>
    <row r="219">
      <c r="A219" s="34" t="str">
        <f>IFERROR(__xludf.DUMMYFUNCTION("""COMPUTED_VALUE"""),"Contributor acknowledgement")</f>
        <v>Contributor acknowledgement</v>
      </c>
      <c r="B219" s="34" t="str">
        <f>IFERROR(__xludf.DUMMYFUNCTION("""COMPUTED_VALUE"""),"authors")</f>
        <v>authors</v>
      </c>
      <c r="C219" s="34" t="str">
        <f>IFERROR(__xludf.DUMMYFUNCTION("""COMPUTED_VALUE"""),"")</f>
        <v/>
      </c>
      <c r="D219" s="34" t="b">
        <f>IFERROR(__xludf.DUMMYFUNCTION("""COMPUTED_VALUE"""),TRUE)</f>
        <v>1</v>
      </c>
      <c r="E219" s="34" t="str">
        <f>IFERROR(__xludf.DUMMYFUNCTION("""COMPUTED_VALUE"""),"GENEPIO:0001517")</f>
        <v>GENEPIO:0001517</v>
      </c>
      <c r="F219" s="34" t="str">
        <f>IFERROR(__xludf.DUMMYFUNCTION("""COMPUTED_VALUE"""),"Names of individuals contributing to the processes of sample collection, sequence generation, analysis, and data submission.")</f>
        <v>Names of individuals contributing to the processes of sample collection, sequence generation, analysis, and data submission.</v>
      </c>
      <c r="G219" s="34" t="str">
        <f>IFERROR(__xludf.DUMMYFUNCTION("""COMPUTED_VALUE"""),"Include the first and last names of all individuals that should be attributed, separated by a comma.")</f>
        <v>Include the first and last names of all individuals that should be attributed, separated by a comma.</v>
      </c>
      <c r="H219" s="34" t="str">
        <f>IFERROR(__xludf.DUMMYFUNCTION("""COMPUTED_VALUE"""),"Tejinder Singh, Fei Hu, Joe Blogs")</f>
        <v>Tejinder Singh, Fei Hu, Joe Blogs</v>
      </c>
      <c r="N219" s="31" t="str">
        <f>IFERROR(__xludf.DUMMYFUNCTION("""COMPUTED_VALUE"""),"Mpox;Mpox_international")</f>
        <v>Mpox;Mpox_international</v>
      </c>
    </row>
    <row r="220">
      <c r="A220" s="34" t="str">
        <f>IFERROR(__xludf.DUMMYFUNCTION("""COMPUTED_VALUE"""),"Contributor acknowledgement")</f>
        <v>Contributor acknowledgement</v>
      </c>
      <c r="B220" s="34" t="str">
        <f>IFERROR(__xludf.DUMMYFUNCTION("""COMPUTED_VALUE"""),"DataHarmonizer provenance")</f>
        <v>DataHarmonizer provenance</v>
      </c>
      <c r="C220" s="34" t="str">
        <f>IFERROR(__xludf.DUMMYFUNCTION("""COMPUTED_VALUE"""),"")</f>
        <v/>
      </c>
      <c r="D220" s="34" t="str">
        <f>IFERROR(__xludf.DUMMYFUNCTION("""COMPUTED_VALUE"""),"")</f>
        <v/>
      </c>
      <c r="E220" s="34" t="str">
        <f>IFERROR(__xludf.DUMMYFUNCTION("""COMPUTED_VALUE"""),"GENEPIO:0001518")</f>
        <v>GENEPIO:0001518</v>
      </c>
      <c r="F220" s="34" t="str">
        <f>IFERROR(__xludf.DUMMYFUNCTION("""COMPUTED_VALUE"""),"The DataHarmonizer software and template version provenance.")</f>
        <v>The DataHarmonizer software and template version provenance.</v>
      </c>
      <c r="G220" s="34" t="str">
        <f>IFERROR(__xludf.DUMMYFUNCTION("""COMPUTED_VALUE"""),"The current software and template version information will be automatically generated in this field after the user utilizes the ""validate"" function. This information will be generated regardless as to whether the row is valid of not.")</f>
        <v>The current software and template version information will be automatically generated in this field after the user utilizes the "validate" function. This information will be generated regardless as to whether the row is valid of not.</v>
      </c>
      <c r="H220" s="34" t="str">
        <f>IFERROR(__xludf.DUMMYFUNCTION("""COMPUTED_VALUE"""),"DataHarmonizer v1.4.3, Mpox v3.3.1")</f>
        <v>DataHarmonizer v1.4.3, Mpox v3.3.1</v>
      </c>
      <c r="N220" s="31" t="str">
        <f>IFERROR(__xludf.DUMMYFUNCTION("""COMPUTED_VALUE"""),"Mpox;Mpox_international")</f>
        <v>Mpox;Mpox_international</v>
      </c>
    </row>
  </sheetData>
  <autoFilter ref="$A$6:$AB$92"/>
  <mergeCells count="1">
    <mergeCell ref="I2:J5"/>
  </mergeCells>
  <conditionalFormatting sqref="A6:N217">
    <cfRule type="expression" dxfId="0" priority="1">
      <formula>AND(ISBLANK($A6), NOT(ISBLANK($B6)), NOT(ISBLANK($E6)))</formula>
    </cfRule>
  </conditionalFormatting>
  <conditionalFormatting sqref="B1:B1000">
    <cfRule type="expression" dxfId="1" priority="2">
      <formula>C1=TRUE</formula>
    </cfRule>
  </conditionalFormatting>
  <conditionalFormatting sqref="B1:B1000">
    <cfRule type="expression" dxfId="1" priority="3">
      <formula>C1=TRUE</formula>
    </cfRule>
  </conditionalFormatting>
  <conditionalFormatting sqref="B1:B1000">
    <cfRule type="expression" dxfId="2" priority="4">
      <formula>D1=TRUE</formula>
    </cfRule>
  </conditionalFormatting>
  <hyperlinks>
    <hyperlink r:id="rId1" ref="G102"/>
    <hyperlink r:id="rId2" ref="H199"/>
    <hyperlink r:id="rId3" ref="H200"/>
  </hyperlinks>
  <printOptions gridLines="1" horizontalCentered="1"/>
  <pageMargins bottom="0.75" footer="0.0" header="0.0" left="0.7" right="0.7" top="0.75"/>
  <pageSetup fitToHeight="0" paperSize="9" cellComments="atEnd" orientation="landscape" pageOrder="overThenDown"/>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63"/>
    <col customWidth="1" min="2" max="2" width="54.25"/>
    <col customWidth="1" min="3" max="3" width="16.88"/>
    <col customWidth="1" min="4" max="4" width="53.88"/>
    <col customWidth="1" min="5" max="5" width="32.13"/>
    <col customWidth="1" min="6" max="6" width="15.5"/>
    <col customWidth="1" min="7" max="7" width="14.13"/>
    <col customWidth="1" min="8" max="10" width="10.38"/>
    <col customWidth="1" min="11" max="11" width="16.75"/>
    <col hidden="1" min="12" max="13" width="12.63"/>
  </cols>
  <sheetData>
    <row r="1">
      <c r="A1" s="45" t="s">
        <v>1</v>
      </c>
      <c r="B1" s="45" t="s">
        <v>21</v>
      </c>
      <c r="C1" s="46" t="s">
        <v>2</v>
      </c>
      <c r="D1" s="45" t="s">
        <v>3</v>
      </c>
      <c r="E1" s="45" t="s">
        <v>4</v>
      </c>
      <c r="F1" s="47" t="s">
        <v>6</v>
      </c>
      <c r="G1" s="47" t="s">
        <v>7</v>
      </c>
      <c r="H1" s="48" t="s">
        <v>8</v>
      </c>
      <c r="K1" s="49" t="s">
        <v>10</v>
      </c>
    </row>
    <row r="2">
      <c r="A2" s="50"/>
      <c r="B2" s="51"/>
      <c r="C2" s="51"/>
      <c r="D2" s="51"/>
      <c r="E2" s="51"/>
      <c r="F2" s="11" t="s">
        <v>22</v>
      </c>
      <c r="H2" s="12" t="s">
        <v>13</v>
      </c>
      <c r="I2" s="12" t="s">
        <v>14</v>
      </c>
      <c r="J2" s="12" t="s">
        <v>15</v>
      </c>
      <c r="K2" s="14"/>
      <c r="L2" s="35" t="s">
        <v>23</v>
      </c>
    </row>
    <row r="3">
      <c r="A3" s="52" t="str">
        <f>IFERROR(__xludf.DUMMYFUNCTION("IMPORTRANGE(""https://docs.google.com/spreadsheets/d/1jPQAIJcL_xa3oBVFEsYRGLGf7ESTOwzsTSjKZ-0CTYE/edit?gid=1995294799#gid=1995294799"",""MPox-enums!A3:A"")"),"null value menu")</f>
        <v>null value menu</v>
      </c>
      <c r="B3" s="53" t="str">
        <f>IFERROR(__xludf.DUMMYFUNCTION("ARRAYFORMULA(IMPORTRANGE(""https://docs.google.com/spreadsheets/d/1jPQAIJcL_xa3oBVFEsYRGLGf7ESTOwzsTSjKZ-0CTYE/edit?gid=1916948245#gid=1916948245"", ""MPox-enums!D2:D"") &amp; ""     "" &amp; IMPORTRANGE(""https://docs.google.com/spreadsheets/d/1jPQAIJcL_xa3oBVFE"&amp;"sYRGLGf7ESTOwzsTSjKZ-0CTYE/edit?gid=1916948245#gid=1916948245"", ""MPox-enums!E2:E"") &amp; ""     "" &amp; IMPORTRANGE(""https://docs.google.com/spreadsheets/d/1jPQAIJcL_xa3oBVFEsYRGLGf7ESTOwzsTSjKZ-0CTYE/edit?gid=1916948245#gid=1916948245"", ""MPox-enums!F2:F"""&amp;") &amp; ""     "" &amp; IMPORTRANGE(""https://docs.google.com/spreadsheets/d/1jPQAIJcL_xa3oBVFEsYRGLGf7ESTOwzsTSjKZ-0CTYE/edit?gid=1916948245#gid=1916948245"", ""MPox-enums!G2:G"") &amp; ""     "" &amp; IMPORTRANGE(""https://docs.google.com/spreadsheets/d/1jPQAIJcL_xa3oB"&amp;"VFEsYRGLGf7ESTOwzsTSjKZ-0CTYE/edit?gid=1916948245#gid=1916948245"", ""MPox-enums!H2:H""))"),"                    ")</f>
        <v>                    </v>
      </c>
      <c r="C3" s="52" t="str">
        <f>IFERROR(__xludf.DUMMYFUNCTION("IMPORTRANGE(""https://docs.google.com/spreadsheets/d/1jPQAIJcL_xa3oBVFEsYRGLGf7ESTOwzsTSjKZ-0CTYE/edit?gid=1995294799#gid=1995294799"",""MPox-enums!C2:C"")"),"")</f>
        <v/>
      </c>
      <c r="D3" s="52" t="str">
        <f>IFERROR(__xludf.DUMMYFUNCTION("IMPORTRANGE(""https://docs.google.com/spreadsheets/d/1jPQAIJcL_xa3oBVFEsYRGLGf7ESTOwzsTSjKZ-0CTYE/edit?gid=1995294799#gid=1995294799"",""MPox-enums!I2:I"")"),"")</f>
        <v/>
      </c>
      <c r="E3" s="52"/>
      <c r="F3" s="54"/>
      <c r="G3" s="54"/>
      <c r="H3" s="54"/>
      <c r="I3" s="54"/>
      <c r="J3" s="54"/>
      <c r="K3" s="55" t="s">
        <v>24</v>
      </c>
      <c r="L3" s="34" t="str">
        <f>LEFT(A3, LEN(A3) - 5)
</f>
        <v>null value</v>
      </c>
      <c r="M3" s="34" t="str">
        <f>VLOOKUP(L3,'Field Reference Guide'!$B$6:$N$220,13,false)</f>
        <v>#N/A</v>
      </c>
    </row>
    <row r="4">
      <c r="A4" s="52"/>
      <c r="B4" s="53" t="str">
        <f>IFERROR(__xludf.DUMMYFUNCTION("""COMPUTED_VALUE"""),"Not Applicable                    ")</f>
        <v>Not Applicable                    </v>
      </c>
      <c r="C4" s="56" t="str">
        <f>IFERROR(__xludf.DUMMYFUNCTION("""COMPUTED_VALUE"""),"GENEPIO:0001619")</f>
        <v>GENEPIO:0001619</v>
      </c>
      <c r="D4" s="56" t="str">
        <f>IFERROR(__xludf.DUMMYFUNCTION("""COMPUTED_VALUE"""),"A categorical choice recorded when a datum does not apply to a given context.")</f>
        <v>A categorical choice recorded when a datum does not apply to a given context.</v>
      </c>
      <c r="E4" s="56"/>
      <c r="F4" s="54"/>
      <c r="G4" s="54"/>
      <c r="H4" s="56" t="s">
        <v>19</v>
      </c>
      <c r="I4" s="56" t="s">
        <v>19</v>
      </c>
      <c r="J4" s="56" t="s">
        <v>19</v>
      </c>
      <c r="K4" s="55" t="s">
        <v>24</v>
      </c>
      <c r="M4" s="31" t="s">
        <v>25</v>
      </c>
    </row>
    <row r="5">
      <c r="A5" s="52"/>
      <c r="B5" s="53" t="str">
        <f>IFERROR(__xludf.DUMMYFUNCTION("""COMPUTED_VALUE"""),"Missing                    ")</f>
        <v>Missing                    </v>
      </c>
      <c r="C5" s="56" t="str">
        <f>IFERROR(__xludf.DUMMYFUNCTION("""COMPUTED_VALUE"""),"GENEPIO:0001618")</f>
        <v>GENEPIO:0001618</v>
      </c>
      <c r="D5" s="56" t="str">
        <f>IFERROR(__xludf.DUMMYFUNCTION("""COMPUTED_VALUE"""),"A categorical choice recorded when a datum is not included for an unknown reason.")</f>
        <v>A categorical choice recorded when a datum is not included for an unknown reason.</v>
      </c>
      <c r="E5" s="56"/>
      <c r="F5" s="54"/>
      <c r="G5" s="54"/>
      <c r="H5" s="56" t="s">
        <v>19</v>
      </c>
      <c r="I5" s="56" t="s">
        <v>19</v>
      </c>
      <c r="J5" s="56" t="s">
        <v>19</v>
      </c>
      <c r="K5" s="55" t="s">
        <v>24</v>
      </c>
      <c r="M5" s="40"/>
    </row>
    <row r="6">
      <c r="A6" s="52"/>
      <c r="B6" s="53" t="str">
        <f>IFERROR(__xludf.DUMMYFUNCTION("""COMPUTED_VALUE"""),"Not Collected                    ")</f>
        <v>Not Collected                    </v>
      </c>
      <c r="C6" s="56" t="str">
        <f>IFERROR(__xludf.DUMMYFUNCTION("""COMPUTED_VALUE"""),"GENEPIO:0001620")</f>
        <v>GENEPIO:0001620</v>
      </c>
      <c r="D6" s="56" t="str">
        <f>IFERROR(__xludf.DUMMYFUNCTION("""COMPUTED_VALUE"""),"A categorical choice recorded when a datum was not measured or collected.")</f>
        <v>A categorical choice recorded when a datum was not measured or collected.</v>
      </c>
      <c r="E6" s="56"/>
      <c r="F6" s="54"/>
      <c r="G6" s="54"/>
      <c r="H6" s="56" t="s">
        <v>19</v>
      </c>
      <c r="I6" s="56" t="s">
        <v>19</v>
      </c>
      <c r="J6" s="56" t="s">
        <v>19</v>
      </c>
      <c r="K6" s="55" t="s">
        <v>24</v>
      </c>
      <c r="M6" s="40"/>
    </row>
    <row r="7">
      <c r="A7" s="52"/>
      <c r="B7" s="53" t="str">
        <f>IFERROR(__xludf.DUMMYFUNCTION("""COMPUTED_VALUE"""),"Not Provided                    ")</f>
        <v>Not Provided                    </v>
      </c>
      <c r="C7" s="56" t="str">
        <f>IFERROR(__xludf.DUMMYFUNCTION("""COMPUTED_VALUE"""),"GENEPIO:0001668")</f>
        <v>GENEPIO:0001668</v>
      </c>
      <c r="D7" s="56" t="str">
        <f>IFERROR(__xludf.DUMMYFUNCTION("""COMPUTED_VALUE"""),"A categorical choice recorded when a datum was collected but is not currently provided in the information being shared. This value indicates the information may be shared at the later stage.")</f>
        <v>A categorical choice recorded when a datum was collected but is not currently provided in the information being shared. This value indicates the information may be shared at the later stage.</v>
      </c>
      <c r="E7" s="56"/>
      <c r="F7" s="54"/>
      <c r="G7" s="54"/>
      <c r="H7" s="56" t="s">
        <v>19</v>
      </c>
      <c r="I7" s="56" t="s">
        <v>19</v>
      </c>
      <c r="J7" s="56" t="s">
        <v>19</v>
      </c>
      <c r="K7" s="55" t="s">
        <v>24</v>
      </c>
      <c r="M7" s="40"/>
    </row>
    <row r="8">
      <c r="A8" s="29"/>
      <c r="B8" s="53" t="str">
        <f>IFERROR(__xludf.DUMMYFUNCTION("""COMPUTED_VALUE"""),"Restricted Access                    ")</f>
        <v>Restricted Access                    </v>
      </c>
      <c r="C8" s="29" t="str">
        <f>IFERROR(__xludf.DUMMYFUNCTION("""COMPUTED_VALUE"""),"GENEPIO:0001810")</f>
        <v>GENEPIO:0001810</v>
      </c>
      <c r="D8" s="29" t="str">
        <f>IFERROR(__xludf.DUMMYFUNCTION("""COMPUTED_VALUE"""),"A categorical choice recorded when a given datum is available but not shared publicly because of information privacy concerns.")</f>
        <v>A categorical choice recorded when a given datum is available but not shared publicly because of information privacy concerns.</v>
      </c>
      <c r="E8" s="29"/>
      <c r="F8" s="29"/>
      <c r="G8" s="29"/>
      <c r="H8" s="56" t="s">
        <v>19</v>
      </c>
      <c r="I8" s="56" t="s">
        <v>19</v>
      </c>
      <c r="J8" s="56" t="s">
        <v>19</v>
      </c>
      <c r="K8" s="55" t="s">
        <v>24</v>
      </c>
      <c r="M8" s="40"/>
    </row>
    <row r="9">
      <c r="A9" s="34" t="str">
        <f>IFERROR(__xludf.DUMMYFUNCTION("""COMPUTED_VALUE"""),"geo_loc_name (state/province/territory) menu")</f>
        <v>geo_loc_name (state/province/territory) menu</v>
      </c>
      <c r="B9" s="53" t="str">
        <f>IFERROR(__xludf.DUMMYFUNCTION("""COMPUTED_VALUE"""),"                    ")</f>
        <v>                    </v>
      </c>
      <c r="C9" s="34"/>
      <c r="D9" s="29" t="str">
        <f>IFERROR(__xludf.DUMMYFUNCTION("""COMPUTED_VALUE"""),"")</f>
        <v/>
      </c>
      <c r="E9" s="34"/>
      <c r="F9" s="34"/>
      <c r="G9" s="34"/>
      <c r="H9" s="34"/>
      <c r="I9" s="34"/>
      <c r="J9" s="34"/>
      <c r="K9" s="34" t="str">
        <f>VLOOKUP(L9,'Field Reference Guide'!$B$7:$N$207,13,false)</f>
        <v>Mpox</v>
      </c>
      <c r="L9" s="34" t="str">
        <f>LEFT(A9, LEN(A9) - 5)
</f>
        <v>geo_loc_name (state/province/territory)</v>
      </c>
      <c r="M9" s="34" t="str">
        <f>VLOOKUP(L9,'Field Reference Guide'!$B$6:$N$220,13,false)</f>
        <v>Mpox</v>
      </c>
    </row>
    <row r="10">
      <c r="A10" s="34"/>
      <c r="B10" s="53" t="str">
        <f>IFERROR(__xludf.DUMMYFUNCTION("""COMPUTED_VALUE"""),"Alberta                    ")</f>
        <v>Alberta                    </v>
      </c>
      <c r="C10" s="34" t="str">
        <f>IFERROR(__xludf.DUMMYFUNCTION("""COMPUTED_VALUE"""),"GAZ:00002566")</f>
        <v>GAZ:00002566</v>
      </c>
      <c r="D10" s="29" t="str">
        <f>IFERROR(__xludf.DUMMYFUNCTION("""COMPUTED_VALUE"""),"One of Canada's prairie provinces. It became a province on 1905-09-01. Alberta is located in western Canada, bounded by the provinces of British Columbia to the west and Saskatchewan to the east, Northwest Territories to the north, and by the State of Mon"&amp;"tana to the south. Statistics Canada divides the province of Alberta into nineteen census divisions, each with one or more municipal governments overseeing county municipalities, improvement districts, special areas, specialized municipalities, municipal "&amp;"districts, regional municipalities, cities, towns, villages, summer villages, Indian settlements, and Indian reserves. Census divisions are not a unit of local government in Alberta.")</f>
        <v>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v>
      </c>
      <c r="H10" s="55" t="s">
        <v>19</v>
      </c>
      <c r="I10" s="55" t="s">
        <v>19</v>
      </c>
      <c r="J10" s="55" t="s">
        <v>19</v>
      </c>
      <c r="K10" s="55" t="str">
        <f t="shared" ref="K10:K23" si="1">K9</f>
        <v>Mpox</v>
      </c>
      <c r="M10" s="57" t="s">
        <v>26</v>
      </c>
    </row>
    <row r="11">
      <c r="A11" s="34"/>
      <c r="B11" s="53" t="str">
        <f>IFERROR(__xludf.DUMMYFUNCTION("""COMPUTED_VALUE"""),"British Columbia                    ")</f>
        <v>British Columbia                    </v>
      </c>
      <c r="C11" s="34" t="str">
        <f>IFERROR(__xludf.DUMMYFUNCTION("""COMPUTED_VALUE"""),"GAZ:00002562")</f>
        <v>GAZ:00002562</v>
      </c>
      <c r="D11" s="29" t="str">
        <f>IFERROR(__xludf.DUMMYFUNCTION("""COMPUTED_VALUE"""),"The westernmost of Canada's provinces. British Columbia is bordered by the Pacific Ocean on the west, by the American State of Alaska on the northwest, and to the north by the Yukon and the Northwest Territories, on the east by the province of Alberta, an"&amp;"d on the south by the States of Washington, Idaho, and Montana. The current southern border of British Columbia was established by the 1846 Oregon Treaty, although its history is tied with lands as far south as the California border. British Columbia's ru"&amp;"gged coastline stretches for more than 27,000 km, and includes deep, mountainous fjords and about 6,000 islands, most of which are uninhabited. British Columbia is carved into 27 regional districts. These regional districts are federations of member munic"&amp;"ipalities and electoral areas. The unincorporated area of the regional district is carved into electoral areas.")</f>
        <v>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v>
      </c>
      <c r="H11" s="55" t="s">
        <v>19</v>
      </c>
      <c r="I11" s="55" t="s">
        <v>19</v>
      </c>
      <c r="J11" s="55" t="s">
        <v>19</v>
      </c>
      <c r="K11" s="55" t="str">
        <f t="shared" si="1"/>
        <v>Mpox</v>
      </c>
      <c r="M11" s="40"/>
    </row>
    <row r="12">
      <c r="A12" s="34"/>
      <c r="B12" s="53" t="str">
        <f>IFERROR(__xludf.DUMMYFUNCTION("""COMPUTED_VALUE"""),"Manitoba                    ")</f>
        <v>Manitoba                    </v>
      </c>
      <c r="C12" s="34" t="str">
        <f>IFERROR(__xludf.DUMMYFUNCTION("""COMPUTED_VALUE"""),"GAZ:00002571")</f>
        <v>GAZ:00002571</v>
      </c>
      <c r="D12" s="29" t="str">
        <f>IFERROR(__xludf.DUMMYFUNCTION("""COMPUTED_VALUE"""),"One of Canada's 10 provinces. Manitoba is located at the longitudinal centre of Canada, although it is considered to be part of Western Canada. It borders Saskatchewan to the west, Ontario to the east, Nunavut and Hudson Bay to the north, and the American"&amp;" states of North Dakota and Minnesota to the south. Statistics Canada divides the province of Manitoba into 23 census divisions. Census divisions are not a unit of local government in Manitoba.")</f>
        <v>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v>
      </c>
      <c r="H12" s="55" t="s">
        <v>19</v>
      </c>
      <c r="I12" s="55" t="s">
        <v>19</v>
      </c>
      <c r="J12" s="55" t="s">
        <v>19</v>
      </c>
      <c r="K12" s="55" t="str">
        <f t="shared" si="1"/>
        <v>Mpox</v>
      </c>
      <c r="M12" s="40"/>
    </row>
    <row r="13">
      <c r="A13" s="34"/>
      <c r="B13" s="53" t="str">
        <f>IFERROR(__xludf.DUMMYFUNCTION("""COMPUTED_VALUE"""),"New Brunswick                    ")</f>
        <v>New Brunswick                    </v>
      </c>
      <c r="C13" s="34" t="str">
        <f>IFERROR(__xludf.DUMMYFUNCTION("""COMPUTED_VALUE"""),"GAZ:00002570")</f>
        <v>GAZ:00002570</v>
      </c>
      <c r="D13" s="29" t="str">
        <f>IFERROR(__xludf.DUMMYFUNCTION("""COMPUTED_VALUE"""),"One of Canada's three Maritime provinces. New Brunswick is bounded on the north by Quebec's Gaspe Peninsula and by Chaleur Bay. Along the east coast, the Gulf of Saint Lawrence and Northumberland Strait form the boundaries. In the south-east corner of the"&amp;" province, the narrow Isthmus of Chignecto connects New Brunswick to the Nova Scotia peninsula. The south of the province is bounded by the Bay of Fundy, which has the highest tides in the world with a rise of 16 m. To the west, the province borders the A"&amp;"merican State of Maine. New Brunswick is divided into 15 counties, which no longer have administrative roles except in the court system. The counties are divided into parishes.")</f>
        <v>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v>
      </c>
      <c r="H13" s="55" t="s">
        <v>19</v>
      </c>
      <c r="I13" s="55" t="s">
        <v>19</v>
      </c>
      <c r="J13" s="55" t="s">
        <v>19</v>
      </c>
      <c r="K13" s="55" t="str">
        <f t="shared" si="1"/>
        <v>Mpox</v>
      </c>
      <c r="M13" s="40"/>
    </row>
    <row r="14">
      <c r="A14" s="34"/>
      <c r="B14" s="53" t="str">
        <f>IFERROR(__xludf.DUMMYFUNCTION("""COMPUTED_VALUE"""),"Newfoundland and Labrador                    ")</f>
        <v>Newfoundland and Labrador                    </v>
      </c>
      <c r="C14" s="34" t="str">
        <f>IFERROR(__xludf.DUMMYFUNCTION("""COMPUTED_VALUE"""),"GAZ:00002567")</f>
        <v>GAZ:00002567</v>
      </c>
      <c r="D14" s="29" t="str">
        <f>IFERROR(__xludf.DUMMYFUNCTION("""COMPUTED_VALUE"""),"A province of Canada, the tenth and latest to join the Confederation. Geographically, the province consists of the island of Newfoundland and the mainland Labrador, on Canada's Atlantic coast.")</f>
        <v>A province of Canada, the tenth and latest to join the Confederation. Geographically, the province consists of the island of Newfoundland and the mainland Labrador, on Canada's Atlantic coast.</v>
      </c>
      <c r="H14" s="55" t="s">
        <v>19</v>
      </c>
      <c r="I14" s="55" t="s">
        <v>19</v>
      </c>
      <c r="J14" s="55" t="s">
        <v>19</v>
      </c>
      <c r="K14" s="55" t="str">
        <f t="shared" si="1"/>
        <v>Mpox</v>
      </c>
      <c r="M14" s="40"/>
    </row>
    <row r="15">
      <c r="A15" s="34"/>
      <c r="B15" s="53" t="str">
        <f>IFERROR(__xludf.DUMMYFUNCTION("""COMPUTED_VALUE"""),"Northwest Territories                    ")</f>
        <v>Northwest Territories                    </v>
      </c>
      <c r="C15" s="34" t="str">
        <f>IFERROR(__xludf.DUMMYFUNCTION("""COMPUTED_VALUE"""),"GAZ:00002575")</f>
        <v>GAZ:00002575</v>
      </c>
      <c r="D15" s="29" t="str">
        <f>IFERROR(__xludf.DUMMYFUNCTION("""COMPUTED_VALUE"""),"A territory of Canada. Located in northern Canada, it borders Canada's two other territories, Yukon to the west and Nunavut to the east, and three provinces: British Columbia to the southwest, Alberta to the south, and Saskatchewan to the southeast. The p"&amp;"resent-day territory was created in 1870-06, when the Hudson's Bay Company transferred Rupert's Land and North-Western Territory to the government of Canada.")</f>
        <v>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v>
      </c>
      <c r="H15" s="55" t="s">
        <v>19</v>
      </c>
      <c r="I15" s="55" t="s">
        <v>19</v>
      </c>
      <c r="J15" s="55" t="s">
        <v>19</v>
      </c>
      <c r="K15" s="55" t="str">
        <f t="shared" si="1"/>
        <v>Mpox</v>
      </c>
      <c r="M15" s="40"/>
    </row>
    <row r="16">
      <c r="A16" s="34"/>
      <c r="B16" s="53" t="str">
        <f>IFERROR(__xludf.DUMMYFUNCTION("""COMPUTED_VALUE"""),"Nova Scotia                    ")</f>
        <v>Nova Scotia                    </v>
      </c>
      <c r="C16" s="34" t="str">
        <f>IFERROR(__xludf.DUMMYFUNCTION("""COMPUTED_VALUE"""),"GAZ:00002565")</f>
        <v>GAZ:00002565</v>
      </c>
      <c r="D16" s="29" t="str">
        <f>IFERROR(__xludf.DUMMYFUNCTION("""COMPUTED_VALUE"""),"A Canadian province located on Canada's southeastern coast. The province's mainland is the Nova Scotia peninsula surrounded by the Atlantic Ocean, including numerous bays and estuaries. No where in Nova Scotia is more than 67 km from the ocean. Cape Breto"&amp;"n Island, a large island to the northeast of the Nova Scotia mainland, is also part of the province, as is Sable Island.")</f>
        <v>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v>
      </c>
      <c r="H16" s="55" t="s">
        <v>19</v>
      </c>
      <c r="I16" s="55" t="s">
        <v>19</v>
      </c>
      <c r="J16" s="55" t="s">
        <v>19</v>
      </c>
      <c r="K16" s="55" t="str">
        <f t="shared" si="1"/>
        <v>Mpox</v>
      </c>
      <c r="M16" s="40"/>
    </row>
    <row r="17">
      <c r="A17" s="34"/>
      <c r="B17" s="53" t="str">
        <f>IFERROR(__xludf.DUMMYFUNCTION("""COMPUTED_VALUE"""),"Nunavut                    ")</f>
        <v>Nunavut                    </v>
      </c>
      <c r="C17" s="34" t="str">
        <f>IFERROR(__xludf.DUMMYFUNCTION("""COMPUTED_VALUE"""),"GAZ:00002574")</f>
        <v>GAZ:00002574</v>
      </c>
      <c r="D17" s="29" t="str">
        <f>IFERROR(__xludf.DUMMYFUNCTION("""COMPUTED_VALUE"""),"The largest and newest territory of Canada; it was separated officially from the Northwest Territories on 1999-04-01. The Territory covers about 1.9 million km2 of land and water in Northern Canada including part of the mainland, most of the Arctic Archip"&amp;"elago, and all of the islands in Hudson Bay, James Bay, and Ungava Bay (including the Belcher Islands) which belonged to the Northwest Territories. Nunavut has land borders with the Northwest Territories on several islands as well as the mainland, a borde"&amp;"r with Manitoba to the south of the Nunavut mainland, and a tiny land border with Newfoundland and Labrador on Killiniq Island. It also shares aquatic borders with the provinces of Quebec, Ontario and Manitoba and with Greenland.")</f>
        <v>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v>
      </c>
      <c r="H17" s="55" t="s">
        <v>19</v>
      </c>
      <c r="I17" s="55" t="s">
        <v>19</v>
      </c>
      <c r="J17" s="55" t="s">
        <v>19</v>
      </c>
      <c r="K17" s="55" t="str">
        <f t="shared" si="1"/>
        <v>Mpox</v>
      </c>
      <c r="M17" s="40"/>
    </row>
    <row r="18">
      <c r="A18" s="34"/>
      <c r="B18" s="53" t="str">
        <f>IFERROR(__xludf.DUMMYFUNCTION("""COMPUTED_VALUE"""),"Ontario                    ")</f>
        <v>Ontario                    </v>
      </c>
      <c r="C18" s="34" t="str">
        <f>IFERROR(__xludf.DUMMYFUNCTION("""COMPUTED_VALUE"""),"GAZ:00002563")</f>
        <v>GAZ:00002563</v>
      </c>
      <c r="D18" s="29" t="str">
        <f>IFERROR(__xludf.DUMMYFUNCTION("""COMPUTED_VALUE"""),"A province located in the central part of Canada. Ontario is bordered by the provinces of Manitoba to the west, Quebec to the east, and the States of Michigan, New York, and Minnesota. Most of Ontario's borders with the United States are natural, starting"&amp;" at the Lake of the Woods and continuing through the four Great Lakes: Superior, Huron (which includes Georgian Bay), Erie, and Ontario (for which the province is named), then along the Saint Lawrence River near Cornwall. Ontario is the only Canadian Prov"&amp;"ince that borders the Great Lakes. There are three different types of census divisions: single-tier municipalities, upper-tier municipalities (which can be regional municipalities or counties) and districts.")</f>
        <v>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v>
      </c>
      <c r="H18" s="55" t="s">
        <v>19</v>
      </c>
      <c r="I18" s="55" t="s">
        <v>19</v>
      </c>
      <c r="J18" s="55" t="s">
        <v>19</v>
      </c>
      <c r="K18" s="55" t="str">
        <f t="shared" si="1"/>
        <v>Mpox</v>
      </c>
      <c r="M18" s="40"/>
    </row>
    <row r="19">
      <c r="A19" s="34"/>
      <c r="B19" s="53" t="str">
        <f>IFERROR(__xludf.DUMMYFUNCTION("""COMPUTED_VALUE"""),"Prince Edward Island                    ")</f>
        <v>Prince Edward Island                    </v>
      </c>
      <c r="C19" s="34" t="str">
        <f>IFERROR(__xludf.DUMMYFUNCTION("""COMPUTED_VALUE"""),"GAZ:00002572")</f>
        <v>GAZ:00002572</v>
      </c>
      <c r="D19" s="29" t="str">
        <f>IFERROR(__xludf.DUMMYFUNCTION("""COMPUTED_VALUE"""),"A Canadian province consisting of an island of the same name. It is divided into 3 counties.")</f>
        <v>A Canadian province consisting of an island of the same name. It is divided into 3 counties.</v>
      </c>
      <c r="H19" s="55" t="s">
        <v>19</v>
      </c>
      <c r="I19" s="55" t="s">
        <v>19</v>
      </c>
      <c r="J19" s="55" t="s">
        <v>19</v>
      </c>
      <c r="K19" s="55" t="str">
        <f t="shared" si="1"/>
        <v>Mpox</v>
      </c>
      <c r="M19" s="40"/>
    </row>
    <row r="20">
      <c r="A20" s="34"/>
      <c r="B20" s="53" t="str">
        <f>IFERROR(__xludf.DUMMYFUNCTION("""COMPUTED_VALUE"""),"Quebec                    ")</f>
        <v>Quebec                    </v>
      </c>
      <c r="C20" s="34" t="str">
        <f>IFERROR(__xludf.DUMMYFUNCTION("""COMPUTED_VALUE"""),"GAZ:00002569")</f>
        <v>GAZ:00002569</v>
      </c>
      <c r="D20" s="29" t="str">
        <f>IFERROR(__xludf.DUMMYFUNCTION("""COMPUTED_VALUE"""),"A province in the central part of Canada. Quebec is Canada's largest province by area and its second-largest administrative division; only the territory of Nunavut is larger. It is bordered to the west by the province of Ontario, James Bay and Hudson Bay,"&amp;" to the north by Hudson Strait and Ungava Bay, to the east by the Gulf of Saint Lawrence and the provinces of Newfoundland and Labrador and New Brunswick. It is bordered on the south by the American states of Maine, New Hampshire, Vermont, and New York. I"&amp;"t also shares maritime borders with the Territory of Nunavut, the Province of Prince Edward Island and the Province of Nova Scotia.")</f>
        <v>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v>
      </c>
      <c r="H20" s="55" t="s">
        <v>19</v>
      </c>
      <c r="I20" s="55" t="s">
        <v>19</v>
      </c>
      <c r="J20" s="55" t="s">
        <v>19</v>
      </c>
      <c r="K20" s="55" t="str">
        <f t="shared" si="1"/>
        <v>Mpox</v>
      </c>
      <c r="M20" s="40"/>
    </row>
    <row r="21">
      <c r="A21" s="34"/>
      <c r="B21" s="53" t="str">
        <f>IFERROR(__xludf.DUMMYFUNCTION("""COMPUTED_VALUE"""),"Saskatchewan                    ")</f>
        <v>Saskatchewan                    </v>
      </c>
      <c r="C21" s="34" t="str">
        <f>IFERROR(__xludf.DUMMYFUNCTION("""COMPUTED_VALUE"""),"GAZ:00002564")</f>
        <v>GAZ:00002564</v>
      </c>
      <c r="D21" s="29" t="str">
        <f>IFERROR(__xludf.DUMMYFUNCTION("""COMPUTED_VALUE"""),"A prairie province in Canada. Saskatchewan is bounded on the west by Alberta, on the north by the Northwest Territories, on the east by Manitoba, and on the south by the States of Montana and North Dakota. It is divided into 18 census divisions according "&amp;"to Statistics Canada.")</f>
        <v>A prairie province in Canada. Saskatchewan is bounded on the west by Alberta, on the north by the Northwest Territories, on the east by Manitoba, and on the south by the States of Montana and North Dakota. It is divided into 18 census divisions according to Statistics Canada.</v>
      </c>
      <c r="H21" s="55" t="s">
        <v>19</v>
      </c>
      <c r="I21" s="55" t="s">
        <v>19</v>
      </c>
      <c r="J21" s="55" t="s">
        <v>19</v>
      </c>
      <c r="K21" s="55" t="str">
        <f t="shared" si="1"/>
        <v>Mpox</v>
      </c>
      <c r="M21" s="40"/>
    </row>
    <row r="22">
      <c r="A22" s="34"/>
      <c r="B22" s="53" t="str">
        <f>IFERROR(__xludf.DUMMYFUNCTION("""COMPUTED_VALUE"""),"Yukon                    ")</f>
        <v>Yukon                    </v>
      </c>
      <c r="C22" s="34" t="str">
        <f>IFERROR(__xludf.DUMMYFUNCTION("""COMPUTED_VALUE"""),"GAZ:00002576")</f>
        <v>GAZ:00002576</v>
      </c>
      <c r="D22" s="29" t="str">
        <f>IFERROR(__xludf.DUMMYFUNCTION("""COMPUTED_VALUE"""),"The westernmost of Canada's three territories. The territory is the approximate shape of a right triangle, bordering the American State of Alaska to the west, the Northwest Territories to the east and British Columbia to the south. Its northern coast is o"&amp;"n the Beaufort Sea. Its ragged eastern boundary mostly follows the divide between the Yukon Basin and the Mackenzie River drainage basin to the east in the Mackenzie mountains. Its capital is Whitehorse.")</f>
        <v>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v>
      </c>
      <c r="H22" s="55" t="s">
        <v>19</v>
      </c>
      <c r="I22" s="55" t="s">
        <v>19</v>
      </c>
      <c r="J22" s="55" t="s">
        <v>19</v>
      </c>
      <c r="K22" s="55" t="str">
        <f t="shared" si="1"/>
        <v>Mpox</v>
      </c>
      <c r="M22" s="40"/>
    </row>
    <row r="23">
      <c r="A23" s="34"/>
      <c r="B23" s="53" t="str">
        <f>IFERROR(__xludf.DUMMYFUNCTION("""COMPUTED_VALUE"""),"                    ")</f>
        <v>                    </v>
      </c>
      <c r="C23" s="34"/>
      <c r="D23" s="29" t="str">
        <f>IFERROR(__xludf.DUMMYFUNCTION("""COMPUTED_VALUE"""),"")</f>
        <v/>
      </c>
      <c r="H23" s="55" t="s">
        <v>19</v>
      </c>
      <c r="I23" s="55" t="s">
        <v>19</v>
      </c>
      <c r="J23" s="55" t="s">
        <v>19</v>
      </c>
      <c r="K23" s="55" t="str">
        <f t="shared" si="1"/>
        <v>Mpox</v>
      </c>
      <c r="M23" s="58"/>
    </row>
    <row r="24">
      <c r="A24" s="34" t="str">
        <f>IFERROR(__xludf.DUMMYFUNCTION("""COMPUTED_VALUE"""),"sample collection date precision menu")</f>
        <v>sample collection date precision menu</v>
      </c>
      <c r="B24" s="53" t="str">
        <f>IFERROR(__xludf.DUMMYFUNCTION("""COMPUTED_VALUE"""),"                    ")</f>
        <v>                    </v>
      </c>
      <c r="C24" s="34"/>
      <c r="D24" s="29" t="str">
        <f>IFERROR(__xludf.DUMMYFUNCTION("""COMPUTED_VALUE"""),"")</f>
        <v/>
      </c>
      <c r="E24" s="34"/>
      <c r="F24" s="34"/>
      <c r="G24" s="34"/>
      <c r="H24" s="34"/>
      <c r="I24" s="34"/>
      <c r="J24" s="34"/>
      <c r="K24" s="34" t="str">
        <f>VLOOKUP(L24,'Field Reference Guide'!$B$7:$N$207,13,false)</f>
        <v>Mpox</v>
      </c>
      <c r="L24" s="34" t="str">
        <f>LEFT(A24, LEN(A24) - 5)
</f>
        <v>sample collection date precision</v>
      </c>
      <c r="M24" s="34" t="str">
        <f>VLOOKUP(L24,'Field Reference Guide'!$B$6:$N$220,13,false)</f>
        <v>Mpox</v>
      </c>
    </row>
    <row r="25">
      <c r="A25" s="34"/>
      <c r="B25" s="53" t="str">
        <f>IFERROR(__xludf.DUMMYFUNCTION("""COMPUTED_VALUE"""),"year                    ")</f>
        <v>year                    </v>
      </c>
      <c r="C25" s="34" t="str">
        <f>IFERROR(__xludf.DUMMYFUNCTION("""COMPUTED_VALUE"""),"UO:0000036")</f>
        <v>UO:0000036</v>
      </c>
      <c r="D25" s="29" t="str">
        <f>IFERROR(__xludf.DUMMYFUNCTION("""COMPUTED_VALUE"""),"A time unit which is equal to 12 months which in science is taken to be equal to 365.25 days.")</f>
        <v>A time unit which is equal to 12 months which in science is taken to be equal to 365.25 days.</v>
      </c>
      <c r="H25" s="55" t="s">
        <v>19</v>
      </c>
      <c r="I25" s="55" t="s">
        <v>19</v>
      </c>
      <c r="J25" s="55" t="s">
        <v>19</v>
      </c>
      <c r="K25" s="55" t="str">
        <f t="shared" ref="K25:K28" si="2">K24</f>
        <v>Mpox</v>
      </c>
      <c r="M25" s="57" t="s">
        <v>26</v>
      </c>
    </row>
    <row r="26">
      <c r="A26" s="34"/>
      <c r="B26" s="53" t="str">
        <f>IFERROR(__xludf.DUMMYFUNCTION("""COMPUTED_VALUE"""),"month                    ")</f>
        <v>month                    </v>
      </c>
      <c r="C26" s="34" t="str">
        <f>IFERROR(__xludf.DUMMYFUNCTION("""COMPUTED_VALUE"""),"UO:0000035")</f>
        <v>UO:0000035</v>
      </c>
      <c r="D26"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26" s="55" t="s">
        <v>19</v>
      </c>
      <c r="I26" s="55" t="s">
        <v>19</v>
      </c>
      <c r="J26" s="55" t="s">
        <v>19</v>
      </c>
      <c r="K26" s="55" t="str">
        <f t="shared" si="2"/>
        <v>Mpox</v>
      </c>
      <c r="M26" s="40"/>
    </row>
    <row r="27">
      <c r="A27" s="34"/>
      <c r="B27" s="53" t="str">
        <f>IFERROR(__xludf.DUMMYFUNCTION("""COMPUTED_VALUE"""),"day                    ")</f>
        <v>day                    </v>
      </c>
      <c r="C27" s="34" t="str">
        <f>IFERROR(__xludf.DUMMYFUNCTION("""COMPUTED_VALUE"""),"UO:0000033")</f>
        <v>UO:0000033</v>
      </c>
      <c r="D27" s="29" t="str">
        <f>IFERROR(__xludf.DUMMYFUNCTION("""COMPUTED_VALUE"""),"A time unit which is equal to 24 hours.")</f>
        <v>A time unit which is equal to 24 hours.</v>
      </c>
      <c r="H27" s="55" t="s">
        <v>19</v>
      </c>
      <c r="I27" s="55" t="s">
        <v>19</v>
      </c>
      <c r="J27" s="55" t="s">
        <v>19</v>
      </c>
      <c r="K27" s="55" t="str">
        <f t="shared" si="2"/>
        <v>Mpox</v>
      </c>
      <c r="M27" s="40"/>
    </row>
    <row r="28">
      <c r="A28" s="34"/>
      <c r="B28" s="53" t="str">
        <f>IFERROR(__xludf.DUMMYFUNCTION("""COMPUTED_VALUE"""),"                    ")</f>
        <v>                    </v>
      </c>
      <c r="C28" s="34"/>
      <c r="D28" s="29" t="str">
        <f>IFERROR(__xludf.DUMMYFUNCTION("""COMPUTED_VALUE"""),"")</f>
        <v/>
      </c>
      <c r="H28" s="55" t="s">
        <v>19</v>
      </c>
      <c r="I28" s="55" t="s">
        <v>19</v>
      </c>
      <c r="J28" s="55" t="s">
        <v>19</v>
      </c>
      <c r="K28" s="55" t="str">
        <f t="shared" si="2"/>
        <v>Mpox</v>
      </c>
      <c r="M28" s="58"/>
    </row>
    <row r="29">
      <c r="A29" s="34" t="str">
        <f>IFERROR(__xludf.DUMMYFUNCTION("""COMPUTED_VALUE"""),"NML submitted specimen type menu")</f>
        <v>NML submitted specimen type menu</v>
      </c>
      <c r="B29" s="53" t="str">
        <f>IFERROR(__xludf.DUMMYFUNCTION("""COMPUTED_VALUE"""),"                    ")</f>
        <v>                    </v>
      </c>
      <c r="C29" s="34"/>
      <c r="D29" s="29" t="str">
        <f>IFERROR(__xludf.DUMMYFUNCTION("""COMPUTED_VALUE"""),"")</f>
        <v/>
      </c>
      <c r="E29" s="34"/>
      <c r="F29" s="34"/>
      <c r="G29" s="34"/>
      <c r="H29" s="34"/>
      <c r="I29" s="34"/>
      <c r="J29" s="34"/>
      <c r="K29" s="34" t="str">
        <f>VLOOKUP(L29,'Field Reference Guide'!$B$7:$N$207,13,false)</f>
        <v>Mpox</v>
      </c>
      <c r="L29" s="34" t="str">
        <f>LEFT(A29, LEN(A29) - 5)
</f>
        <v>NML submitted specimen type</v>
      </c>
      <c r="M29" s="34" t="str">
        <f>VLOOKUP(L29,'Field Reference Guide'!$B$6:$N$220,13,false)</f>
        <v>Mpox</v>
      </c>
    </row>
    <row r="30">
      <c r="A30" s="34"/>
      <c r="B30" s="53" t="str">
        <f>IFERROR(__xludf.DUMMYFUNCTION("""COMPUTED_VALUE"""),"Bodily fluid                    ")</f>
        <v>Bodily fluid                    </v>
      </c>
      <c r="C30" s="34" t="str">
        <f>IFERROR(__xludf.DUMMYFUNCTION("""COMPUTED_VALUE"""),"UBERON:0006314")</f>
        <v>UBERON:0006314</v>
      </c>
      <c r="D30"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30" s="55" t="s">
        <v>19</v>
      </c>
      <c r="I30" s="55" t="s">
        <v>19</v>
      </c>
      <c r="J30" s="55" t="s">
        <v>19</v>
      </c>
      <c r="K30" s="55" t="str">
        <f t="shared" ref="K30:K38" si="3">K29</f>
        <v>Mpox</v>
      </c>
      <c r="M30" s="57" t="s">
        <v>26</v>
      </c>
    </row>
    <row r="31">
      <c r="A31" s="34"/>
      <c r="B31" s="53" t="str">
        <f>IFERROR(__xludf.DUMMYFUNCTION("""COMPUTED_VALUE"""),"DNA                    ")</f>
        <v>DNA                    </v>
      </c>
      <c r="C31" s="34" t="str">
        <f>IFERROR(__xludf.DUMMYFUNCTION("""COMPUTED_VALUE"""),"OBI:0001051")</f>
        <v>OBI:0001051</v>
      </c>
      <c r="D31" s="29" t="str">
        <f>IFERROR(__xludf.DUMMYFUNCTION("""COMPUTED_VALUE"""),"The output of an extraction process in which DNA molecules are purified in order to exclude DNA from organellas.")</f>
        <v>The output of an extraction process in which DNA molecules are purified in order to exclude DNA from organellas.</v>
      </c>
      <c r="H31" s="55" t="s">
        <v>19</v>
      </c>
      <c r="I31" s="55" t="s">
        <v>19</v>
      </c>
      <c r="J31" s="55" t="s">
        <v>19</v>
      </c>
      <c r="K31" s="55" t="str">
        <f t="shared" si="3"/>
        <v>Mpox</v>
      </c>
      <c r="M31" s="40"/>
    </row>
    <row r="32">
      <c r="A32" s="34"/>
      <c r="B32" s="53" t="str">
        <f>IFERROR(__xludf.DUMMYFUNCTION("""COMPUTED_VALUE"""),"Nucleic acid                    ")</f>
        <v>Nucleic acid                    </v>
      </c>
      <c r="C32" s="34" t="str">
        <f>IFERROR(__xludf.DUMMYFUNCTION("""COMPUTED_VALUE"""),"OBI:0001010")</f>
        <v>OBI:0001010</v>
      </c>
      <c r="D32" s="29" t="str">
        <f>IFERROR(__xludf.DUMMYFUNCTION("""COMPUTED_VALUE"""),"An extract that is the output of an extraction process in which nucleic acid molecules are isolated from a specimen.")</f>
        <v>An extract that is the output of an extraction process in which nucleic acid molecules are isolated from a specimen.</v>
      </c>
      <c r="H32" s="55" t="s">
        <v>19</v>
      </c>
      <c r="I32" s="55" t="s">
        <v>19</v>
      </c>
      <c r="J32" s="55" t="s">
        <v>19</v>
      </c>
      <c r="K32" s="55" t="str">
        <f t="shared" si="3"/>
        <v>Mpox</v>
      </c>
      <c r="M32" s="40"/>
    </row>
    <row r="33">
      <c r="A33" s="34"/>
      <c r="B33" s="53" t="str">
        <f>IFERROR(__xludf.DUMMYFUNCTION("""COMPUTED_VALUE"""),"RNA                    ")</f>
        <v>RNA                    </v>
      </c>
      <c r="C33" s="34" t="str">
        <f>IFERROR(__xludf.DUMMYFUNCTION("""COMPUTED_VALUE"""),"OBI:0000880")</f>
        <v>OBI:0000880</v>
      </c>
      <c r="D33" s="29" t="str">
        <f>IFERROR(__xludf.DUMMYFUNCTION("""COMPUTED_VALUE"""),"An extract which is the output of an extraction process in which RNA molecules are isolated from a specimen.")</f>
        <v>An extract which is the output of an extraction process in which RNA molecules are isolated from a specimen.</v>
      </c>
      <c r="H33" s="55" t="s">
        <v>19</v>
      </c>
      <c r="I33" s="55" t="s">
        <v>19</v>
      </c>
      <c r="J33" s="55" t="s">
        <v>19</v>
      </c>
      <c r="K33" s="55" t="str">
        <f t="shared" si="3"/>
        <v>Mpox</v>
      </c>
      <c r="M33" s="40"/>
    </row>
    <row r="34">
      <c r="A34" s="34"/>
      <c r="B34" s="53" t="str">
        <f>IFERROR(__xludf.DUMMYFUNCTION("""COMPUTED_VALUE"""),"Swab                    ")</f>
        <v>Swab                    </v>
      </c>
      <c r="C34" s="34" t="str">
        <f>IFERROR(__xludf.DUMMYFUNCTION("""COMPUTED_VALUE"""),"OBI:0002600")</f>
        <v>OBI:0002600</v>
      </c>
      <c r="D34" s="29" t="str">
        <f>IFERROR(__xludf.DUMMYFUNCTION("""COMPUTED_VALUE"""),"A device which is a soft, absorbent material mounted on one or both ends of a stick.")</f>
        <v>A device which is a soft, absorbent material mounted on one or both ends of a stick.</v>
      </c>
      <c r="H34" s="55" t="s">
        <v>19</v>
      </c>
      <c r="I34" s="55" t="s">
        <v>19</v>
      </c>
      <c r="J34" s="55" t="s">
        <v>19</v>
      </c>
      <c r="K34" s="55" t="str">
        <f t="shared" si="3"/>
        <v>Mpox</v>
      </c>
      <c r="M34" s="40"/>
    </row>
    <row r="35">
      <c r="A35" s="34"/>
      <c r="B35" s="53" t="str">
        <f>IFERROR(__xludf.DUMMYFUNCTION("""COMPUTED_VALUE"""),"Tissue                    ")</f>
        <v>Tissue                    </v>
      </c>
      <c r="C35" s="34" t="str">
        <f>IFERROR(__xludf.DUMMYFUNCTION("""COMPUTED_VALUE"""),"UBERON:0000479")</f>
        <v>UBERON:0000479</v>
      </c>
      <c r="D35"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35" s="55" t="s">
        <v>19</v>
      </c>
      <c r="I35" s="55" t="s">
        <v>19</v>
      </c>
      <c r="J35" s="55" t="s">
        <v>19</v>
      </c>
      <c r="K35" s="55" t="str">
        <f t="shared" si="3"/>
        <v>Mpox</v>
      </c>
      <c r="M35" s="40"/>
    </row>
    <row r="36">
      <c r="A36" s="34"/>
      <c r="B36" s="53" t="str">
        <f>IFERROR(__xludf.DUMMYFUNCTION("""COMPUTED_VALUE"""),"Not Applicable                    ")</f>
        <v>Not Applicable                    </v>
      </c>
      <c r="C36" s="34" t="str">
        <f>IFERROR(__xludf.DUMMYFUNCTION("""COMPUTED_VALUE"""),"GENEPIO:0001619")</f>
        <v>GENEPIO:0001619</v>
      </c>
      <c r="D36" s="29" t="str">
        <f>IFERROR(__xludf.DUMMYFUNCTION("""COMPUTED_VALUE"""),"A categorical choice recorded when a datum does not apply to a given context.")</f>
        <v>A categorical choice recorded when a datum does not apply to a given context.</v>
      </c>
      <c r="H36" s="55" t="s">
        <v>19</v>
      </c>
      <c r="I36" s="55" t="s">
        <v>19</v>
      </c>
      <c r="J36" s="55" t="s">
        <v>19</v>
      </c>
      <c r="K36" s="55" t="str">
        <f t="shared" si="3"/>
        <v>Mpox</v>
      </c>
      <c r="M36" s="40"/>
    </row>
    <row r="37">
      <c r="A37" s="29"/>
      <c r="B37" s="53" t="str">
        <f>IFERROR(__xludf.DUMMYFUNCTION("""COMPUTED_VALUE"""),"                    ")</f>
        <v>                    </v>
      </c>
      <c r="C37" s="29"/>
      <c r="D37" s="29" t="str">
        <f>IFERROR(__xludf.DUMMYFUNCTION("""COMPUTED_VALUE"""),"")</f>
        <v/>
      </c>
      <c r="E37" s="29"/>
      <c r="F37" s="29"/>
      <c r="G37" s="29"/>
      <c r="H37" s="29"/>
      <c r="I37" s="29"/>
      <c r="J37" s="29"/>
      <c r="K37" s="55" t="str">
        <f t="shared" si="3"/>
        <v>Mpox</v>
      </c>
      <c r="M37" s="58"/>
    </row>
    <row r="38">
      <c r="A38" s="29"/>
      <c r="B38" s="53" t="str">
        <f>IFERROR(__xludf.DUMMYFUNCTION("""COMPUTED_VALUE"""),"                    ")</f>
        <v>                    </v>
      </c>
      <c r="C38" s="29"/>
      <c r="D38" s="29" t="str">
        <f>IFERROR(__xludf.DUMMYFUNCTION("""COMPUTED_VALUE"""),"")</f>
        <v/>
      </c>
      <c r="E38" s="29"/>
      <c r="F38" s="29"/>
      <c r="G38" s="29"/>
      <c r="H38" s="29"/>
      <c r="I38" s="29"/>
      <c r="J38" s="29"/>
      <c r="K38" s="55" t="str">
        <f t="shared" si="3"/>
        <v>Mpox</v>
      </c>
      <c r="M38" s="58"/>
    </row>
    <row r="39">
      <c r="A39" s="34" t="str">
        <f>IFERROR(__xludf.DUMMYFUNCTION("""COMPUTED_VALUE"""),"Related specimen relationship type menu")</f>
        <v>Related specimen relationship type menu</v>
      </c>
      <c r="B39" s="53" t="str">
        <f>IFERROR(__xludf.DUMMYFUNCTION("""COMPUTED_VALUE"""),"                    ")</f>
        <v>                    </v>
      </c>
      <c r="C39" s="34"/>
      <c r="D39" s="29" t="str">
        <f>IFERROR(__xludf.DUMMYFUNCTION("""COMPUTED_VALUE"""),"")</f>
        <v/>
      </c>
      <c r="E39" s="34"/>
      <c r="F39" s="34"/>
      <c r="G39" s="34"/>
      <c r="H39" s="34"/>
      <c r="I39" s="34"/>
      <c r="J39" s="34"/>
      <c r="K39" s="34" t="str">
        <f>VLOOKUP(L39,'Field Reference Guide'!$B$7:$N$207,13,false)</f>
        <v>Mpox</v>
      </c>
      <c r="L39" s="34" t="str">
        <f>LEFT(A39, LEN(A39) - 5)
</f>
        <v>Related specimen relationship type</v>
      </c>
      <c r="M39" s="34" t="str">
        <f>VLOOKUP(L39,'Field Reference Guide'!$B$6:$N$220,13,false)</f>
        <v>Mpox</v>
      </c>
    </row>
    <row r="40">
      <c r="A40" s="34"/>
      <c r="B40" s="53" t="str">
        <f>IFERROR(__xludf.DUMMYFUNCTION("""COMPUTED_VALUE"""),"Acute                    ")</f>
        <v>Acute                    </v>
      </c>
      <c r="C40" s="34" t="str">
        <f>IFERROR(__xludf.DUMMYFUNCTION("""COMPUTED_VALUE"""),"HP:0011009")</f>
        <v>HP:0011009</v>
      </c>
      <c r="D40" s="29" t="str">
        <f>IFERROR(__xludf.DUMMYFUNCTION("""COMPUTED_VALUE"""),"Sudden appearance of disease manifestations over a short period of time. The word acute is applied to different time scales depending on the disease or manifestation and does not have an exact definition in minutes, hours, or days.")</f>
        <v>Sudden appearance of disease manifestations over a short period of time. The word acute is applied to different time scales depending on the disease or manifestation and does not have an exact definition in minutes, hours, or days.</v>
      </c>
      <c r="H40" s="55" t="s">
        <v>19</v>
      </c>
      <c r="I40" s="55" t="s">
        <v>19</v>
      </c>
      <c r="J40" s="55" t="s">
        <v>19</v>
      </c>
      <c r="K40" s="55" t="str">
        <f t="shared" ref="K40:K47" si="4">K39</f>
        <v>Mpox</v>
      </c>
      <c r="M40" s="57" t="s">
        <v>26</v>
      </c>
    </row>
    <row r="41">
      <c r="A41" s="34"/>
      <c r="B41" s="53" t="str">
        <f>IFERROR(__xludf.DUMMYFUNCTION("""COMPUTED_VALUE"""),"Convalescent                    ")</f>
        <v>Convalescent                    </v>
      </c>
      <c r="C41" s="34"/>
      <c r="D41" s="29" t="str">
        <f>IFERROR(__xludf.DUMMYFUNCTION("""COMPUTED_VALUE"""),"")</f>
        <v/>
      </c>
      <c r="H41" s="55" t="s">
        <v>19</v>
      </c>
      <c r="I41" s="55" t="s">
        <v>19</v>
      </c>
      <c r="J41" s="55" t="s">
        <v>19</v>
      </c>
      <c r="K41" s="55" t="str">
        <f t="shared" si="4"/>
        <v>Mpox</v>
      </c>
      <c r="M41" s="40"/>
    </row>
    <row r="42">
      <c r="A42" s="34"/>
      <c r="B42" s="53" t="str">
        <f>IFERROR(__xludf.DUMMYFUNCTION("""COMPUTED_VALUE"""),"Familial                    ")</f>
        <v>Familial                    </v>
      </c>
      <c r="C42" s="34"/>
      <c r="D42" s="29" t="str">
        <f>IFERROR(__xludf.DUMMYFUNCTION("""COMPUTED_VALUE"""),"")</f>
        <v/>
      </c>
      <c r="H42" s="55" t="s">
        <v>19</v>
      </c>
      <c r="I42" s="55" t="s">
        <v>19</v>
      </c>
      <c r="J42" s="55" t="s">
        <v>19</v>
      </c>
      <c r="K42" s="55" t="str">
        <f t="shared" si="4"/>
        <v>Mpox</v>
      </c>
      <c r="M42" s="40"/>
    </row>
    <row r="43">
      <c r="A43" s="34"/>
      <c r="B43" s="53" t="str">
        <f>IFERROR(__xludf.DUMMYFUNCTION("""COMPUTED_VALUE"""),"Follow-up                    ")</f>
        <v>Follow-up                    </v>
      </c>
      <c r="C43" s="34" t="str">
        <f>IFERROR(__xludf.DUMMYFUNCTION("""COMPUTED_VALUE"""),"EFO:0009642")</f>
        <v>EFO:0009642</v>
      </c>
      <c r="D43" s="29" t="str">
        <f>IFERROR(__xludf.DUMMYFUNCTION("""COMPUTED_VALUE"""),"The process by which information about the health status of an individual is obtained after a study has officially closed; an activity that continues something that has already begun or that repeats something that has already been done.")</f>
        <v>The process by which information about the health status of an individual is obtained after a study has officially closed; an activity that continues something that has already begun or that repeats something that has already been done.</v>
      </c>
      <c r="H43" s="55" t="s">
        <v>19</v>
      </c>
      <c r="I43" s="55" t="s">
        <v>19</v>
      </c>
      <c r="J43" s="55" t="s">
        <v>19</v>
      </c>
      <c r="K43" s="55" t="str">
        <f t="shared" si="4"/>
        <v>Mpox</v>
      </c>
      <c r="M43" s="40"/>
    </row>
    <row r="44">
      <c r="A44" s="34"/>
      <c r="B44" s="53" t="str">
        <f>IFERROR(__xludf.DUMMYFUNCTION("""COMPUTED_VALUE"""),"     Reinfection testing               ")</f>
        <v>     Reinfection testing               </v>
      </c>
      <c r="C44" s="34"/>
      <c r="D44" s="29" t="str">
        <f>IFERROR(__xludf.DUMMYFUNCTION("""COMPUTED_VALUE"""),"")</f>
        <v/>
      </c>
      <c r="H44" s="55" t="s">
        <v>19</v>
      </c>
      <c r="I44" s="55" t="s">
        <v>19</v>
      </c>
      <c r="J44" s="55" t="s">
        <v>19</v>
      </c>
      <c r="K44" s="55" t="str">
        <f t="shared" si="4"/>
        <v>Mpox</v>
      </c>
      <c r="M44" s="40"/>
    </row>
    <row r="45">
      <c r="A45" s="34"/>
      <c r="B45" s="53" t="str">
        <f>IFERROR(__xludf.DUMMYFUNCTION("""COMPUTED_VALUE"""),"Previously Submitted                    ")</f>
        <v>Previously Submitted                    </v>
      </c>
      <c r="C45" s="34"/>
      <c r="D45" s="29" t="str">
        <f>IFERROR(__xludf.DUMMYFUNCTION("""COMPUTED_VALUE"""),"")</f>
        <v/>
      </c>
      <c r="H45" s="55" t="s">
        <v>19</v>
      </c>
      <c r="I45" s="55" t="s">
        <v>19</v>
      </c>
      <c r="J45" s="55" t="s">
        <v>19</v>
      </c>
      <c r="K45" s="55" t="str">
        <f t="shared" si="4"/>
        <v>Mpox</v>
      </c>
      <c r="M45" s="40"/>
    </row>
    <row r="46">
      <c r="A46" s="34"/>
      <c r="B46" s="53" t="str">
        <f>IFERROR(__xludf.DUMMYFUNCTION("""COMPUTED_VALUE"""),"Sequencing/bioinformatics methods development/validation                    ")</f>
        <v>Sequencing/bioinformatics methods development/validation                    </v>
      </c>
      <c r="C46" s="34"/>
      <c r="D46" s="29" t="str">
        <f>IFERROR(__xludf.DUMMYFUNCTION("""COMPUTED_VALUE"""),"")</f>
        <v/>
      </c>
      <c r="H46" s="55" t="s">
        <v>19</v>
      </c>
      <c r="I46" s="55" t="s">
        <v>19</v>
      </c>
      <c r="J46" s="55" t="s">
        <v>19</v>
      </c>
      <c r="K46" s="55" t="str">
        <f t="shared" si="4"/>
        <v>Mpox</v>
      </c>
      <c r="M46" s="40"/>
    </row>
    <row r="47">
      <c r="A47" s="34"/>
      <c r="B47" s="53" t="str">
        <f>IFERROR(__xludf.DUMMYFUNCTION("""COMPUTED_VALUE"""),"Specimen sampling methods testing                    ")</f>
        <v>Specimen sampling methods testing                    </v>
      </c>
      <c r="C47" s="34"/>
      <c r="D47" s="29" t="str">
        <f>IFERROR(__xludf.DUMMYFUNCTION("""COMPUTED_VALUE"""),"")</f>
        <v/>
      </c>
      <c r="H47" s="55" t="s">
        <v>19</v>
      </c>
      <c r="I47" s="55" t="s">
        <v>19</v>
      </c>
      <c r="J47" s="55" t="s">
        <v>19</v>
      </c>
      <c r="K47" s="55" t="str">
        <f t="shared" si="4"/>
        <v>Mpox</v>
      </c>
      <c r="M47" s="40"/>
    </row>
    <row r="48">
      <c r="A48" s="34" t="str">
        <f>IFERROR(__xludf.DUMMYFUNCTION("""COMPUTED_VALUE"""),"anatomical material menu")</f>
        <v>anatomical material menu</v>
      </c>
      <c r="B48" s="53" t="str">
        <f>IFERROR(__xludf.DUMMYFUNCTION("""COMPUTED_VALUE"""),"                    ")</f>
        <v>                    </v>
      </c>
      <c r="C48" s="34"/>
      <c r="D48" s="29" t="str">
        <f>IFERROR(__xludf.DUMMYFUNCTION("""COMPUTED_VALUE"""),"")</f>
        <v/>
      </c>
      <c r="E48" s="34"/>
      <c r="F48" s="34"/>
      <c r="G48" s="34"/>
      <c r="H48" s="34"/>
      <c r="I48" s="34"/>
      <c r="J48" s="34"/>
      <c r="K48" s="34" t="str">
        <f>VLOOKUP(L48,'Field Reference Guide'!$B$7:$N$207,13,false)</f>
        <v>Mpox</v>
      </c>
      <c r="L48" s="34" t="str">
        <f>LEFT(A48, LEN(A48) - 5)
</f>
        <v>anatomical material</v>
      </c>
      <c r="M48" s="34" t="str">
        <f>VLOOKUP(L48,'Field Reference Guide'!$B$6:$N$220,13,false)</f>
        <v>Mpox</v>
      </c>
    </row>
    <row r="49">
      <c r="A49" s="34"/>
      <c r="B49" s="53" t="str">
        <f>IFERROR(__xludf.DUMMYFUNCTION("""COMPUTED_VALUE"""),"Blood                    ")</f>
        <v>Blood                    </v>
      </c>
      <c r="C49" s="34" t="str">
        <f>IFERROR(__xludf.DUMMYFUNCTION("""COMPUTED_VALUE"""),"UBERON:0000178")</f>
        <v>UBERON:0000178</v>
      </c>
      <c r="D49" s="29" t="str">
        <f>IFERROR(__xludf.DUMMYFUNCTION("""COMPUTED_VALUE"""),"A fluid that is composed of blood plasma and erythrocytes.")</f>
        <v>A fluid that is composed of blood plasma and erythrocytes.</v>
      </c>
      <c r="H49" s="55" t="s">
        <v>19</v>
      </c>
      <c r="I49" s="55" t="s">
        <v>19</v>
      </c>
      <c r="J49" s="55" t="s">
        <v>19</v>
      </c>
      <c r="K49" s="55" t="str">
        <f t="shared" ref="K49:K70" si="5">K48</f>
        <v>Mpox</v>
      </c>
      <c r="M49" s="57" t="s">
        <v>26</v>
      </c>
    </row>
    <row r="50">
      <c r="A50" s="34"/>
      <c r="B50" s="53" t="str">
        <f>IFERROR(__xludf.DUMMYFUNCTION("""COMPUTED_VALUE"""),"     Blood clot               ")</f>
        <v>     Blood clot               </v>
      </c>
      <c r="C50" s="34" t="str">
        <f>IFERROR(__xludf.DUMMYFUNCTION("""COMPUTED_VALUE"""),"UBERON:0010210")</f>
        <v>UBERON:0010210</v>
      </c>
      <c r="D50"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H50" s="55" t="s">
        <v>19</v>
      </c>
      <c r="I50" s="55" t="s">
        <v>19</v>
      </c>
      <c r="J50" s="55" t="s">
        <v>19</v>
      </c>
      <c r="K50" s="55" t="str">
        <f t="shared" si="5"/>
        <v>Mpox</v>
      </c>
      <c r="M50" s="40"/>
    </row>
    <row r="51">
      <c r="A51" s="34"/>
      <c r="B51" s="53" t="str">
        <f>IFERROR(__xludf.DUMMYFUNCTION("""COMPUTED_VALUE"""),"     Blood serum               ")</f>
        <v>     Blood serum               </v>
      </c>
      <c r="C51" s="34" t="str">
        <f>IFERROR(__xludf.DUMMYFUNCTION("""COMPUTED_VALUE"""),"UBERON:0001977")</f>
        <v>UBERON:0001977</v>
      </c>
      <c r="D51" s="29" t="str">
        <f>IFERROR(__xludf.DUMMYFUNCTION("""COMPUTED_VALUE"""),"The portion of blood plasma that excludes clotting factors.")</f>
        <v>The portion of blood plasma that excludes clotting factors.</v>
      </c>
      <c r="H51" s="55" t="s">
        <v>19</v>
      </c>
      <c r="I51" s="55" t="s">
        <v>19</v>
      </c>
      <c r="J51" s="55" t="s">
        <v>19</v>
      </c>
      <c r="K51" s="55" t="str">
        <f t="shared" si="5"/>
        <v>Mpox</v>
      </c>
      <c r="M51" s="40"/>
    </row>
    <row r="52">
      <c r="A52" s="34"/>
      <c r="B52" s="53" t="str">
        <f>IFERROR(__xludf.DUMMYFUNCTION("""COMPUTED_VALUE"""),"     Blood plasma               ")</f>
        <v>     Blood plasma               </v>
      </c>
      <c r="C52" s="34" t="str">
        <f>IFERROR(__xludf.DUMMYFUNCTION("""COMPUTED_VALUE"""),"UBERON:0001969")</f>
        <v>UBERON:0001969</v>
      </c>
      <c r="D52" s="29" t="str">
        <f>IFERROR(__xludf.DUMMYFUNCTION("""COMPUTED_VALUE"""),"The liquid component of blood, in which erythrocytes are suspended.")</f>
        <v>The liquid component of blood, in which erythrocytes are suspended.</v>
      </c>
      <c r="H52" s="55" t="s">
        <v>19</v>
      </c>
      <c r="I52" s="55" t="s">
        <v>19</v>
      </c>
      <c r="J52" s="55" t="s">
        <v>19</v>
      </c>
      <c r="K52" s="55" t="str">
        <f t="shared" si="5"/>
        <v>Mpox</v>
      </c>
      <c r="M52" s="40"/>
    </row>
    <row r="53">
      <c r="A53" s="34"/>
      <c r="B53" s="53" t="str">
        <f>IFERROR(__xludf.DUMMYFUNCTION("""COMPUTED_VALUE"""),"     Whole blood               ")</f>
        <v>     Whole blood               </v>
      </c>
      <c r="C53" s="34" t="str">
        <f>IFERROR(__xludf.DUMMYFUNCTION("""COMPUTED_VALUE"""),"NCIT:C41067")</f>
        <v>NCIT:C41067</v>
      </c>
      <c r="D53"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H53" s="55" t="s">
        <v>19</v>
      </c>
      <c r="I53" s="55" t="s">
        <v>19</v>
      </c>
      <c r="J53" s="55" t="s">
        <v>19</v>
      </c>
      <c r="K53" s="55" t="str">
        <f t="shared" si="5"/>
        <v>Mpox</v>
      </c>
      <c r="M53" s="40"/>
    </row>
    <row r="54">
      <c r="A54" s="34"/>
      <c r="B54" s="53" t="str">
        <f>IFERROR(__xludf.DUMMYFUNCTION("""COMPUTED_VALUE"""),"Fluid                    ")</f>
        <v>Fluid                    </v>
      </c>
      <c r="C54" s="34" t="str">
        <f>IFERROR(__xludf.DUMMYFUNCTION("""COMPUTED_VALUE"""),"UBERON:0006314")</f>
        <v>UBERON:0006314</v>
      </c>
      <c r="D54"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H54" s="55" t="s">
        <v>19</v>
      </c>
      <c r="I54" s="55" t="s">
        <v>19</v>
      </c>
      <c r="J54" s="55" t="s">
        <v>19</v>
      </c>
      <c r="K54" s="55" t="str">
        <f t="shared" si="5"/>
        <v>Mpox</v>
      </c>
      <c r="M54" s="40"/>
    </row>
    <row r="55">
      <c r="A55" s="34"/>
      <c r="B55" s="53" t="str">
        <f>IFERROR(__xludf.DUMMYFUNCTION("""COMPUTED_VALUE"""),"     Saliva               ")</f>
        <v>     Saliva               </v>
      </c>
      <c r="C55" s="34" t="str">
        <f>IFERROR(__xludf.DUMMYFUNCTION("""COMPUTED_VALUE"""),"UBERON:0001836")</f>
        <v>UBERON:0001836</v>
      </c>
      <c r="D55"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H55" s="55" t="s">
        <v>19</v>
      </c>
      <c r="I55" s="55" t="s">
        <v>19</v>
      </c>
      <c r="J55" s="55" t="s">
        <v>19</v>
      </c>
      <c r="K55" s="55" t="str">
        <f t="shared" si="5"/>
        <v>Mpox</v>
      </c>
      <c r="M55" s="40"/>
    </row>
    <row r="56">
      <c r="A56" s="34"/>
      <c r="B56" s="53" t="str">
        <f>IFERROR(__xludf.DUMMYFUNCTION("""COMPUTED_VALUE"""),"     Fluid (cerebrospinal (CSF))               ")</f>
        <v>     Fluid (cerebrospinal (CSF))               </v>
      </c>
      <c r="C56" s="34" t="str">
        <f>IFERROR(__xludf.DUMMYFUNCTION("""COMPUTED_VALUE"""),"UBERON:0001359")</f>
        <v>UBERON:0001359</v>
      </c>
      <c r="D56"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H56" s="55" t="s">
        <v>19</v>
      </c>
      <c r="I56" s="55" t="s">
        <v>19</v>
      </c>
      <c r="J56" s="55" t="s">
        <v>19</v>
      </c>
      <c r="K56" s="55" t="str">
        <f t="shared" si="5"/>
        <v>Mpox</v>
      </c>
      <c r="M56" s="40"/>
    </row>
    <row r="57">
      <c r="A57" s="34"/>
      <c r="B57" s="53" t="str">
        <f>IFERROR(__xludf.DUMMYFUNCTION("""COMPUTED_VALUE"""),"     Fluid (pericardial)               ")</f>
        <v>     Fluid (pericardial)               </v>
      </c>
      <c r="C57" s="34" t="str">
        <f>IFERROR(__xludf.DUMMYFUNCTION("""COMPUTED_VALUE"""),"UBERON:0002409")</f>
        <v>UBERON:0002409</v>
      </c>
      <c r="D57" s="29" t="str">
        <f>IFERROR(__xludf.DUMMYFUNCTION("""COMPUTED_VALUE"""),"Transudate contained in the pericardial cavity.")</f>
        <v>Transudate contained in the pericardial cavity.</v>
      </c>
      <c r="H57" s="55" t="s">
        <v>19</v>
      </c>
      <c r="I57" s="55" t="s">
        <v>19</v>
      </c>
      <c r="J57" s="55" t="s">
        <v>19</v>
      </c>
      <c r="K57" s="55" t="str">
        <f t="shared" si="5"/>
        <v>Mpox</v>
      </c>
      <c r="M57" s="40"/>
    </row>
    <row r="58">
      <c r="A58" s="34"/>
      <c r="B58" s="53" t="str">
        <f>IFERROR(__xludf.DUMMYFUNCTION("""COMPUTED_VALUE"""),"     Fluid (pleural)               ")</f>
        <v>     Fluid (pleural)               </v>
      </c>
      <c r="C58" s="34" t="str">
        <f>IFERROR(__xludf.DUMMYFUNCTION("""COMPUTED_VALUE"""),"UBERON:0001087")</f>
        <v>UBERON:0001087</v>
      </c>
      <c r="D58" s="29" t="str">
        <f>IFERROR(__xludf.DUMMYFUNCTION("""COMPUTED_VALUE"""),"Transudate contained in the pleural cavity.")</f>
        <v>Transudate contained in the pleural cavity.</v>
      </c>
      <c r="H58" s="55" t="s">
        <v>19</v>
      </c>
      <c r="I58" s="55" t="s">
        <v>19</v>
      </c>
      <c r="J58" s="55" t="s">
        <v>19</v>
      </c>
      <c r="K58" s="55" t="str">
        <f t="shared" si="5"/>
        <v>Mpox</v>
      </c>
      <c r="M58" s="40"/>
    </row>
    <row r="59">
      <c r="A59" s="34"/>
      <c r="B59" s="53" t="str">
        <f>IFERROR(__xludf.DUMMYFUNCTION("""COMPUTED_VALUE"""),"     Fluid (vaginal)               ")</f>
        <v>     Fluid (vaginal)               </v>
      </c>
      <c r="C59" s="34" t="str">
        <f>IFERROR(__xludf.DUMMYFUNCTION("""COMPUTED_VALUE"""),"UBERON:0036243")</f>
        <v>UBERON:0036243</v>
      </c>
      <c r="D59"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H59" s="55" t="s">
        <v>19</v>
      </c>
      <c r="I59" s="55" t="s">
        <v>19</v>
      </c>
      <c r="J59" s="55" t="s">
        <v>19</v>
      </c>
      <c r="K59" s="55" t="str">
        <f t="shared" si="5"/>
        <v>Mpox</v>
      </c>
      <c r="M59" s="40"/>
    </row>
    <row r="60">
      <c r="A60" s="34"/>
      <c r="B60" s="53" t="str">
        <f>IFERROR(__xludf.DUMMYFUNCTION("""COMPUTED_VALUE"""),"     Fluid (amniotic)               ")</f>
        <v>     Fluid (amniotic)               </v>
      </c>
      <c r="C60" s="34" t="str">
        <f>IFERROR(__xludf.DUMMYFUNCTION("""COMPUTED_VALUE"""),"UBERON:0000173")</f>
        <v>UBERON:0000173</v>
      </c>
      <c r="D60"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H60" s="55" t="s">
        <v>19</v>
      </c>
      <c r="I60" s="55" t="s">
        <v>19</v>
      </c>
      <c r="J60" s="55" t="s">
        <v>19</v>
      </c>
      <c r="K60" s="55" t="str">
        <f t="shared" si="5"/>
        <v>Mpox</v>
      </c>
      <c r="M60" s="40"/>
    </row>
    <row r="61">
      <c r="A61" s="34"/>
      <c r="B61" s="53" t="str">
        <f>IFERROR(__xludf.DUMMYFUNCTION("""COMPUTED_VALUE"""),"Lesion                    ")</f>
        <v>Lesion                    </v>
      </c>
      <c r="C61" s="34" t="str">
        <f>IFERROR(__xludf.DUMMYFUNCTION("""COMPUTED_VALUE"""),"NCIT:C3824")</f>
        <v>NCIT:C3824</v>
      </c>
      <c r="D61"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61" s="55" t="s">
        <v>19</v>
      </c>
      <c r="I61" s="55" t="s">
        <v>19</v>
      </c>
      <c r="J61" s="55" t="s">
        <v>19</v>
      </c>
      <c r="K61" s="55" t="str">
        <f t="shared" si="5"/>
        <v>Mpox</v>
      </c>
      <c r="M61" s="40"/>
    </row>
    <row r="62">
      <c r="A62" s="34"/>
      <c r="B62" s="53" t="str">
        <f>IFERROR(__xludf.DUMMYFUNCTION("""COMPUTED_VALUE"""),"     Lesion (Macule)               ")</f>
        <v>     Lesion (Macule)               </v>
      </c>
      <c r="C62" s="34" t="str">
        <f>IFERROR(__xludf.DUMMYFUNCTION("""COMPUTED_VALUE"""),"NCIT:C43278")</f>
        <v>NCIT:C43278</v>
      </c>
      <c r="D62" s="29" t="str">
        <f>IFERROR(__xludf.DUMMYFUNCTION("""COMPUTED_VALUE"""),"A flat lesion characterized by change in the skin color.")</f>
        <v>A flat lesion characterized by change in the skin color.</v>
      </c>
      <c r="H62" s="55" t="s">
        <v>19</v>
      </c>
      <c r="I62" s="55" t="s">
        <v>19</v>
      </c>
      <c r="J62" s="55" t="s">
        <v>19</v>
      </c>
      <c r="K62" s="55" t="str">
        <f t="shared" si="5"/>
        <v>Mpox</v>
      </c>
      <c r="M62" s="40"/>
    </row>
    <row r="63">
      <c r="A63" s="34"/>
      <c r="B63" s="53" t="str">
        <f>IFERROR(__xludf.DUMMYFUNCTION("""COMPUTED_VALUE"""),"     Lesion (Papule)               ")</f>
        <v>     Lesion (Papule)               </v>
      </c>
      <c r="C63" s="34" t="str">
        <f>IFERROR(__xludf.DUMMYFUNCTION("""COMPUTED_VALUE"""),"NCIT:C39690")</f>
        <v>NCIT:C39690</v>
      </c>
      <c r="D63" s="29" t="str">
        <f>IFERROR(__xludf.DUMMYFUNCTION("""COMPUTED_VALUE"""),"A small (less than 5-10 mm) elevation of skin that is non-suppurative.")</f>
        <v>A small (less than 5-10 mm) elevation of skin that is non-suppurative.</v>
      </c>
      <c r="H63" s="55" t="s">
        <v>19</v>
      </c>
      <c r="I63" s="55" t="s">
        <v>19</v>
      </c>
      <c r="J63" s="55" t="s">
        <v>19</v>
      </c>
      <c r="K63" s="55" t="str">
        <f t="shared" si="5"/>
        <v>Mpox</v>
      </c>
      <c r="M63" s="40"/>
    </row>
    <row r="64">
      <c r="A64" s="34"/>
      <c r="B64" s="53" t="str">
        <f>IFERROR(__xludf.DUMMYFUNCTION("""COMPUTED_VALUE"""),"     Lesion (Pustule)               ")</f>
        <v>     Lesion (Pustule)               </v>
      </c>
      <c r="C64" s="34" t="str">
        <f>IFERROR(__xludf.DUMMYFUNCTION("""COMPUTED_VALUE"""),"NCIT:C78582")</f>
        <v>NCIT:C78582</v>
      </c>
      <c r="D64" s="29" t="str">
        <f>IFERROR(__xludf.DUMMYFUNCTION("""COMPUTED_VALUE"""),"A circumscribed and elevated skin lesion filled with purulent material.")</f>
        <v>A circumscribed and elevated skin lesion filled with purulent material.</v>
      </c>
      <c r="H64" s="55" t="s">
        <v>19</v>
      </c>
      <c r="I64" s="55" t="s">
        <v>19</v>
      </c>
      <c r="J64" s="55" t="s">
        <v>19</v>
      </c>
      <c r="K64" s="55" t="str">
        <f t="shared" si="5"/>
        <v>Mpox</v>
      </c>
      <c r="M64" s="40"/>
    </row>
    <row r="65">
      <c r="A65" s="34"/>
      <c r="B65" s="53" t="str">
        <f>IFERROR(__xludf.DUMMYFUNCTION("""COMPUTED_VALUE"""),"     Lesion (Scab)               ")</f>
        <v>     Lesion (Scab)               </v>
      </c>
      <c r="C65" s="34" t="str">
        <f>IFERROR(__xludf.DUMMYFUNCTION("""COMPUTED_VALUE"""),"GENEPIO:0100490")</f>
        <v>GENEPIO:0100490</v>
      </c>
      <c r="D65" s="29" t="str">
        <f>IFERROR(__xludf.DUMMYFUNCTION("""COMPUTED_VALUE"""),"A dry, rough, crust-like lesion that forms over a wound or ulcer as part of the natural healing process. It consists of dried blood, serum, and cellular debris.")</f>
        <v>A dry, rough, crust-like lesion that forms over a wound or ulcer as part of the natural healing process. It consists of dried blood, serum, and cellular debris.</v>
      </c>
      <c r="H65" s="55" t="s">
        <v>19</v>
      </c>
      <c r="I65" s="55" t="s">
        <v>19</v>
      </c>
      <c r="J65" s="55" t="s">
        <v>19</v>
      </c>
      <c r="K65" s="55" t="str">
        <f t="shared" si="5"/>
        <v>Mpox</v>
      </c>
      <c r="M65" s="40"/>
    </row>
    <row r="66">
      <c r="A66" s="34"/>
      <c r="B66" s="53" t="str">
        <f>IFERROR(__xludf.DUMMYFUNCTION("""COMPUTED_VALUE"""),"     Lesion (Vesicle)               ")</f>
        <v>     Lesion (Vesicle)               </v>
      </c>
      <c r="C66" s="34" t="str">
        <f>IFERROR(__xludf.DUMMYFUNCTION("""COMPUTED_VALUE"""),"GENEPIO:0100491")</f>
        <v>GENEPIO:0100491</v>
      </c>
      <c r="D66" s="29" t="str">
        <f>IFERROR(__xludf.DUMMYFUNCTION("""COMPUTED_VALUE"""),"A small, fluid-filled elevation on the skin. Vesicles are often clear or slightly cloudy and can be a sign of various skin conditions or infections.")</f>
        <v>A small, fluid-filled elevation on the skin. Vesicles are often clear or slightly cloudy and can be a sign of various skin conditions or infections.</v>
      </c>
      <c r="H66" s="55" t="s">
        <v>19</v>
      </c>
      <c r="I66" s="55" t="s">
        <v>19</v>
      </c>
      <c r="J66" s="55" t="s">
        <v>19</v>
      </c>
      <c r="K66" s="55" t="str">
        <f t="shared" si="5"/>
        <v>Mpox</v>
      </c>
      <c r="M66" s="40"/>
    </row>
    <row r="67">
      <c r="A67" s="34"/>
      <c r="B67" s="53" t="str">
        <f>IFERROR(__xludf.DUMMYFUNCTION("""COMPUTED_VALUE"""),"Rash                    ")</f>
        <v>Rash                    </v>
      </c>
      <c r="C67" s="34" t="str">
        <f>IFERROR(__xludf.DUMMYFUNCTION("""COMPUTED_VALUE"""),"SYMP:0000487")</f>
        <v>SYMP:0000487</v>
      </c>
      <c r="D67"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H67" s="55" t="s">
        <v>19</v>
      </c>
      <c r="I67" s="55" t="s">
        <v>19</v>
      </c>
      <c r="J67" s="55" t="s">
        <v>19</v>
      </c>
      <c r="K67" s="55" t="str">
        <f t="shared" si="5"/>
        <v>Mpox</v>
      </c>
      <c r="M67" s="40"/>
    </row>
    <row r="68">
      <c r="A68" s="34"/>
      <c r="B68" s="53" t="str">
        <f>IFERROR(__xludf.DUMMYFUNCTION("""COMPUTED_VALUE"""),"Ulcer                    ")</f>
        <v>Ulcer                    </v>
      </c>
      <c r="C68" s="34" t="str">
        <f>IFERROR(__xludf.DUMMYFUNCTION("""COMPUTED_VALUE"""),"NCIT:C3426")</f>
        <v>NCIT:C3426</v>
      </c>
      <c r="D68"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68" s="55" t="s">
        <v>19</v>
      </c>
      <c r="I68" s="55" t="s">
        <v>19</v>
      </c>
      <c r="J68" s="55" t="s">
        <v>19</v>
      </c>
      <c r="K68" s="55" t="str">
        <f t="shared" si="5"/>
        <v>Mpox</v>
      </c>
      <c r="M68" s="40"/>
    </row>
    <row r="69">
      <c r="A69" s="34"/>
      <c r="B69" s="53" t="str">
        <f>IFERROR(__xludf.DUMMYFUNCTION("""COMPUTED_VALUE"""),"Tissue                    ")</f>
        <v>Tissue                    </v>
      </c>
      <c r="C69" s="34" t="str">
        <f>IFERROR(__xludf.DUMMYFUNCTION("""COMPUTED_VALUE"""),"UBERON:0000479")</f>
        <v>UBERON:0000479</v>
      </c>
      <c r="D69"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H69" s="55" t="s">
        <v>19</v>
      </c>
      <c r="I69" s="55" t="s">
        <v>19</v>
      </c>
      <c r="J69" s="55" t="s">
        <v>19</v>
      </c>
      <c r="K69" s="55" t="str">
        <f t="shared" si="5"/>
        <v>Mpox</v>
      </c>
      <c r="M69" s="40"/>
    </row>
    <row r="70">
      <c r="A70" s="34"/>
      <c r="B70" s="53" t="str">
        <f>IFERROR(__xludf.DUMMYFUNCTION("""COMPUTED_VALUE"""),"     Wound tissue (injury)               ")</f>
        <v>     Wound tissue (injury)               </v>
      </c>
      <c r="C70" s="34" t="str">
        <f>IFERROR(__xludf.DUMMYFUNCTION("""COMPUTED_VALUE"""),"NCIT:C3671")</f>
        <v>NCIT:C3671</v>
      </c>
      <c r="D70"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H70" s="55" t="s">
        <v>19</v>
      </c>
      <c r="I70" s="55" t="s">
        <v>19</v>
      </c>
      <c r="J70" s="55" t="s">
        <v>19</v>
      </c>
      <c r="K70" s="55" t="str">
        <f t="shared" si="5"/>
        <v>Mpox</v>
      </c>
      <c r="M70" s="40"/>
    </row>
    <row r="71" hidden="1">
      <c r="A71" s="29" t="str">
        <f>IFERROR(__xludf.DUMMYFUNCTION("""COMPUTED_VALUE"""),"anatomical material international menu")</f>
        <v>anatomical material international menu</v>
      </c>
      <c r="B71" s="53" t="str">
        <f>IFERROR(__xludf.DUMMYFUNCTION("""COMPUTED_VALUE"""),"                    ")</f>
        <v>                    </v>
      </c>
      <c r="C71" s="29"/>
      <c r="D71" s="29" t="str">
        <f>IFERROR(__xludf.DUMMYFUNCTION("""COMPUTED_VALUE"""),"")</f>
        <v/>
      </c>
      <c r="E71" s="29"/>
      <c r="F71" s="29"/>
      <c r="G71" s="29"/>
      <c r="H71" s="29"/>
      <c r="I71" s="29"/>
      <c r="J71" s="29"/>
      <c r="K71" s="59" t="s">
        <v>27</v>
      </c>
      <c r="L71" s="34" t="str">
        <f>LEFT(A71, LEN(A71) - 5)
</f>
        <v>anatomical material international</v>
      </c>
      <c r="M71" s="34" t="str">
        <f>VLOOKUP(L71,'Field Reference Guide'!$B$6:$N$220,13,false)</f>
        <v>#N/A</v>
      </c>
    </row>
    <row r="72" hidden="1">
      <c r="A72" s="29"/>
      <c r="B72" s="53" t="str">
        <f>IFERROR(__xludf.DUMMYFUNCTION("""COMPUTED_VALUE"""),"Blood [UBERON:0000178]                    ")</f>
        <v>Blood [UBERON:0000178]                    </v>
      </c>
      <c r="C72" s="29" t="str">
        <f>IFERROR(__xludf.DUMMYFUNCTION("""COMPUTED_VALUE"""),"UBERON:0000178")</f>
        <v>UBERON:0000178</v>
      </c>
      <c r="D72" s="29" t="str">
        <f>IFERROR(__xludf.DUMMYFUNCTION("""COMPUTED_VALUE"""),"A fluid that is composed of blood plasma and erythrocytes.")</f>
        <v>A fluid that is composed of blood plasma and erythrocytes.</v>
      </c>
      <c r="E72" s="29"/>
      <c r="F72" s="29"/>
      <c r="G72" s="29"/>
      <c r="H72" s="56" t="s">
        <v>19</v>
      </c>
      <c r="I72" s="56" t="s">
        <v>19</v>
      </c>
      <c r="J72" s="56" t="s">
        <v>19</v>
      </c>
      <c r="K72" s="55" t="str">
        <f t="shared" ref="K72:K94" si="6">K71</f>
        <v>International</v>
      </c>
      <c r="M72" s="57" t="s">
        <v>28</v>
      </c>
    </row>
    <row r="73" hidden="1">
      <c r="A73" s="29"/>
      <c r="B73" s="53" t="str">
        <f>IFERROR(__xludf.DUMMYFUNCTION("""COMPUTED_VALUE"""),"     Blood clot [UBERON:0010210]               ")</f>
        <v>     Blood clot [UBERON:0010210]               </v>
      </c>
      <c r="C73" s="29" t="str">
        <f>IFERROR(__xludf.DUMMYFUNCTION("""COMPUTED_VALUE"""),"UBERON:0010210")</f>
        <v>UBERON:0010210</v>
      </c>
      <c r="D73" s="29" t="str">
        <f>IFERROR(__xludf.DUMMYFUNCTION("""COMPUTED_VALUE"""),"Venous or arterial thrombosis (formation of blood clots) of spontaneous nature and which cannot be fully explained by acquired risk (e.g. atherosclerosis).")</f>
        <v>Venous or arterial thrombosis (formation of blood clots) of spontaneous nature and which cannot be fully explained by acquired risk (e.g. atherosclerosis).</v>
      </c>
      <c r="E73" s="29"/>
      <c r="F73" s="29"/>
      <c r="G73" s="29"/>
      <c r="H73" s="56" t="s">
        <v>19</v>
      </c>
      <c r="I73" s="56" t="s">
        <v>19</v>
      </c>
      <c r="J73" s="56" t="s">
        <v>19</v>
      </c>
      <c r="K73" s="55" t="str">
        <f t="shared" si="6"/>
        <v>International</v>
      </c>
      <c r="M73" s="40"/>
    </row>
    <row r="74" hidden="1">
      <c r="A74" s="29"/>
      <c r="B74" s="53" t="str">
        <f>IFERROR(__xludf.DUMMYFUNCTION("""COMPUTED_VALUE"""),"     Blood serum [UBERON:0001977]               ")</f>
        <v>     Blood serum [UBERON:0001977]               </v>
      </c>
      <c r="C74" s="29" t="str">
        <f>IFERROR(__xludf.DUMMYFUNCTION("""COMPUTED_VALUE"""),"UBERON:0001977")</f>
        <v>UBERON:0001977</v>
      </c>
      <c r="D74" s="29" t="str">
        <f>IFERROR(__xludf.DUMMYFUNCTION("""COMPUTED_VALUE"""),"The portion of blood plasma that excludes clotting factors.")</f>
        <v>The portion of blood plasma that excludes clotting factors.</v>
      </c>
      <c r="E74" s="29"/>
      <c r="F74" s="29"/>
      <c r="G74" s="29"/>
      <c r="H74" s="56" t="s">
        <v>19</v>
      </c>
      <c r="I74" s="56" t="s">
        <v>19</v>
      </c>
      <c r="J74" s="56" t="s">
        <v>19</v>
      </c>
      <c r="K74" s="55" t="str">
        <f t="shared" si="6"/>
        <v>International</v>
      </c>
      <c r="M74" s="40"/>
    </row>
    <row r="75" hidden="1">
      <c r="A75" s="29"/>
      <c r="B75" s="53" t="str">
        <f>IFERROR(__xludf.DUMMYFUNCTION("""COMPUTED_VALUE"""),"     Blood plasma [UBERON:0001969]               ")</f>
        <v>     Blood plasma [UBERON:0001969]               </v>
      </c>
      <c r="C75" s="29" t="str">
        <f>IFERROR(__xludf.DUMMYFUNCTION("""COMPUTED_VALUE"""),"UBERON:0001969")</f>
        <v>UBERON:0001969</v>
      </c>
      <c r="D75" s="29" t="str">
        <f>IFERROR(__xludf.DUMMYFUNCTION("""COMPUTED_VALUE"""),"The liquid component of blood, in which erythrocytes are suspended.")</f>
        <v>The liquid component of blood, in which erythrocytes are suspended.</v>
      </c>
      <c r="E75" s="29"/>
      <c r="F75" s="29"/>
      <c r="G75" s="29"/>
      <c r="H75" s="56" t="s">
        <v>19</v>
      </c>
      <c r="I75" s="56" t="s">
        <v>19</v>
      </c>
      <c r="J75" s="56" t="s">
        <v>19</v>
      </c>
      <c r="K75" s="55" t="str">
        <f t="shared" si="6"/>
        <v>International</v>
      </c>
      <c r="M75" s="40"/>
    </row>
    <row r="76" hidden="1">
      <c r="A76" s="29"/>
      <c r="B76" s="53" t="str">
        <f>IFERROR(__xludf.DUMMYFUNCTION("""COMPUTED_VALUE"""),"     Whole blood [NCIT:C41067]               ")</f>
        <v>     Whole blood [NCIT:C41067]               </v>
      </c>
      <c r="C76" s="29" t="str">
        <f>IFERROR(__xludf.DUMMYFUNCTION("""COMPUTED_VALUE"""),"NCIT:C41067")</f>
        <v>NCIT:C41067</v>
      </c>
      <c r="D76" s="29" t="str">
        <f>IFERROR(__xludf.DUMMYFUNCTION("""COMPUTED_VALUE"""),"Blood that has not been separated into its various components; blood that has not been modified except for the addition of an anticoagulant.")</f>
        <v>Blood that has not been separated into its various components; blood that has not been modified except for the addition of an anticoagulant.</v>
      </c>
      <c r="E76" s="29"/>
      <c r="F76" s="29"/>
      <c r="G76" s="29"/>
      <c r="H76" s="56" t="s">
        <v>19</v>
      </c>
      <c r="I76" s="56" t="s">
        <v>19</v>
      </c>
      <c r="J76" s="56" t="s">
        <v>19</v>
      </c>
      <c r="K76" s="55" t="str">
        <f t="shared" si="6"/>
        <v>International</v>
      </c>
      <c r="M76" s="40"/>
    </row>
    <row r="77" hidden="1">
      <c r="A77" s="29"/>
      <c r="B77" s="53" t="str">
        <f>IFERROR(__xludf.DUMMYFUNCTION("""COMPUTED_VALUE"""),"Fluid [UBERON:0006314]                    ")</f>
        <v>Fluid [UBERON:0006314]                    </v>
      </c>
      <c r="C77" s="29" t="str">
        <f>IFERROR(__xludf.DUMMYFUNCTION("""COMPUTED_VALUE"""),"UBERON:0006314")</f>
        <v>UBERON:0006314</v>
      </c>
      <c r="D77" s="29" t="str">
        <f>IFERROR(__xludf.DUMMYFUNCTION("""COMPUTED_VALUE"""),"Liquid components of living organisms. includes fluids that are excreted or secreted from the body as well as body water that normally is not.")</f>
        <v>Liquid components of living organisms. includes fluids that are excreted or secreted from the body as well as body water that normally is not.</v>
      </c>
      <c r="E77" s="29"/>
      <c r="F77" s="29"/>
      <c r="G77" s="29"/>
      <c r="H77" s="56" t="s">
        <v>19</v>
      </c>
      <c r="I77" s="56" t="s">
        <v>19</v>
      </c>
      <c r="J77" s="56" t="s">
        <v>19</v>
      </c>
      <c r="K77" s="55" t="str">
        <f t="shared" si="6"/>
        <v>International</v>
      </c>
      <c r="M77" s="40"/>
    </row>
    <row r="78" hidden="1">
      <c r="A78" s="29"/>
      <c r="B78" s="53" t="str">
        <f>IFERROR(__xludf.DUMMYFUNCTION("""COMPUTED_VALUE"""),"     Saliva [UBERON:0001836]               ")</f>
        <v>     Saliva [UBERON:0001836]               </v>
      </c>
      <c r="C78" s="29" t="str">
        <f>IFERROR(__xludf.DUMMYFUNCTION("""COMPUTED_VALUE"""),"UBERON:0001836")</f>
        <v>UBERON:0001836</v>
      </c>
      <c r="D78" s="29" t="str">
        <f>IFERROR(__xludf.DUMMYFUNCTION("""COMPUTED_VALUE"""),"A fluid produced in the oral cavity by salivary glands, typically used in predigestion, but also in other functions.")</f>
        <v>A fluid produced in the oral cavity by salivary glands, typically used in predigestion, but also in other functions.</v>
      </c>
      <c r="E78" s="29"/>
      <c r="F78" s="29"/>
      <c r="G78" s="29"/>
      <c r="H78" s="56" t="s">
        <v>19</v>
      </c>
      <c r="I78" s="56" t="s">
        <v>19</v>
      </c>
      <c r="J78" s="56" t="s">
        <v>19</v>
      </c>
      <c r="K78" s="55" t="str">
        <f t="shared" si="6"/>
        <v>International</v>
      </c>
      <c r="M78" s="40"/>
    </row>
    <row r="79" hidden="1">
      <c r="A79" s="29"/>
      <c r="B79" s="53" t="str">
        <f>IFERROR(__xludf.DUMMYFUNCTION("""COMPUTED_VALUE"""),"     Fluid (cerebrospinal (CSF)) [UBERON:0001359]               ")</f>
        <v>     Fluid (cerebrospinal (CSF)) [UBERON:0001359]               </v>
      </c>
      <c r="C79" s="29" t="str">
        <f>IFERROR(__xludf.DUMMYFUNCTION("""COMPUTED_VALUE"""),"UBERON:0001359")</f>
        <v>UBERON:0001359</v>
      </c>
      <c r="D79" s="29" t="str">
        <f>IFERROR(__xludf.DUMMYFUNCTION("""COMPUTED_VALUE"""),"A clear, colorless, bodily fluid, that occupies the subarachnoid space and the ventricular system around and inside the brain and spinal cord.")</f>
        <v>A clear, colorless, bodily fluid, that occupies the subarachnoid space and the ventricular system around and inside the brain and spinal cord.</v>
      </c>
      <c r="E79" s="29"/>
      <c r="F79" s="29"/>
      <c r="G79" s="29"/>
      <c r="H79" s="56" t="s">
        <v>19</v>
      </c>
      <c r="I79" s="56" t="s">
        <v>19</v>
      </c>
      <c r="J79" s="56" t="s">
        <v>19</v>
      </c>
      <c r="K79" s="55" t="str">
        <f t="shared" si="6"/>
        <v>International</v>
      </c>
      <c r="M79" s="40"/>
    </row>
    <row r="80" hidden="1">
      <c r="A80" s="29"/>
      <c r="B80" s="53" t="str">
        <f>IFERROR(__xludf.DUMMYFUNCTION("""COMPUTED_VALUE"""),"     Fluid (pericardial) [UBERON:0002409]               ")</f>
        <v>     Fluid (pericardial) [UBERON:0002409]               </v>
      </c>
      <c r="C80" s="29" t="str">
        <f>IFERROR(__xludf.DUMMYFUNCTION("""COMPUTED_VALUE"""),"UBERON:0002409")</f>
        <v>UBERON:0002409</v>
      </c>
      <c r="D80" s="29" t="str">
        <f>IFERROR(__xludf.DUMMYFUNCTION("""COMPUTED_VALUE"""),"Transudate contained in the pericardial cavity.")</f>
        <v>Transudate contained in the pericardial cavity.</v>
      </c>
      <c r="E80" s="29"/>
      <c r="F80" s="29"/>
      <c r="G80" s="29"/>
      <c r="H80" s="56" t="s">
        <v>19</v>
      </c>
      <c r="I80" s="56" t="s">
        <v>19</v>
      </c>
      <c r="J80" s="56" t="s">
        <v>19</v>
      </c>
      <c r="K80" s="55" t="str">
        <f t="shared" si="6"/>
        <v>International</v>
      </c>
      <c r="M80" s="40"/>
    </row>
    <row r="81" hidden="1">
      <c r="A81" s="29"/>
      <c r="B81" s="53" t="str">
        <f>IFERROR(__xludf.DUMMYFUNCTION("""COMPUTED_VALUE"""),"     Fluid (pleural) [UBERON:0001087]               ")</f>
        <v>     Fluid (pleural) [UBERON:0001087]               </v>
      </c>
      <c r="C81" s="29" t="str">
        <f>IFERROR(__xludf.DUMMYFUNCTION("""COMPUTED_VALUE"""),"UBERON:0001087")</f>
        <v>UBERON:0001087</v>
      </c>
      <c r="D81" s="29" t="str">
        <f>IFERROR(__xludf.DUMMYFUNCTION("""COMPUTED_VALUE"""),"Transudate contained in the pleural cavity.")</f>
        <v>Transudate contained in the pleural cavity.</v>
      </c>
      <c r="E81" s="29"/>
      <c r="F81" s="29"/>
      <c r="G81" s="29"/>
      <c r="H81" s="56" t="s">
        <v>19</v>
      </c>
      <c r="I81" s="56" t="s">
        <v>19</v>
      </c>
      <c r="J81" s="56" t="s">
        <v>19</v>
      </c>
      <c r="K81" s="55" t="str">
        <f t="shared" si="6"/>
        <v>International</v>
      </c>
      <c r="M81" s="40"/>
    </row>
    <row r="82" hidden="1">
      <c r="A82" s="29"/>
      <c r="B82" s="53" t="str">
        <f>IFERROR(__xludf.DUMMYFUNCTION("""COMPUTED_VALUE"""),"     Fluid (vaginal) [UBERON:0036243]               ")</f>
        <v>     Fluid (vaginal) [UBERON:0036243]               </v>
      </c>
      <c r="C82" s="29" t="str">
        <f>IFERROR(__xludf.DUMMYFUNCTION("""COMPUTED_VALUE"""),"UBERON:0036243")</f>
        <v>UBERON:0036243</v>
      </c>
      <c r="D82" s="29" t="str">
        <f>IFERROR(__xludf.DUMMYFUNCTION("""COMPUTED_VALUE"""),"Fluid that lines the vaginal walls that consists of multiple secretions that collect in the vagina from different glands")</f>
        <v>Fluid that lines the vaginal walls that consists of multiple secretions that collect in the vagina from different glands</v>
      </c>
      <c r="E82" s="29"/>
      <c r="F82" s="29"/>
      <c r="G82" s="29"/>
      <c r="H82" s="56" t="s">
        <v>19</v>
      </c>
      <c r="I82" s="56" t="s">
        <v>19</v>
      </c>
      <c r="J82" s="56" t="s">
        <v>19</v>
      </c>
      <c r="K82" s="55" t="str">
        <f t="shared" si="6"/>
        <v>International</v>
      </c>
      <c r="M82" s="40"/>
    </row>
    <row r="83" hidden="1">
      <c r="A83" s="29"/>
      <c r="B83" s="53" t="str">
        <f>IFERROR(__xludf.DUMMYFUNCTION("""COMPUTED_VALUE"""),"     Fluid (amniotic) [UBERON:0000173]               ")</f>
        <v>     Fluid (amniotic) [UBERON:0000173]               </v>
      </c>
      <c r="C83" s="29" t="str">
        <f>IFERROR(__xludf.DUMMYFUNCTION("""COMPUTED_VALUE"""),"UBERON:0000173")</f>
        <v>UBERON:0000173</v>
      </c>
      <c r="D83" s="29" t="str">
        <f>IFERROR(__xludf.DUMMYFUNCTION("""COMPUTED_VALUE"""),"Amniotic fluid is a bodily fluid consisting of watery liquid surrounding and cushioning a growing fetus within the amnion.")</f>
        <v>Amniotic fluid is a bodily fluid consisting of watery liquid surrounding and cushioning a growing fetus within the amnion.</v>
      </c>
      <c r="E83" s="29"/>
      <c r="F83" s="29"/>
      <c r="G83" s="29"/>
      <c r="H83" s="56" t="s">
        <v>19</v>
      </c>
      <c r="I83" s="56" t="s">
        <v>19</v>
      </c>
      <c r="J83" s="56" t="s">
        <v>19</v>
      </c>
      <c r="K83" s="55" t="str">
        <f t="shared" si="6"/>
        <v>International</v>
      </c>
      <c r="M83" s="40"/>
    </row>
    <row r="84" hidden="1">
      <c r="A84" s="29"/>
      <c r="B84" s="53" t="str">
        <f>IFERROR(__xludf.DUMMYFUNCTION("""COMPUTED_VALUE"""),"Lesion [NCIT:C3824]                    ")</f>
        <v>Lesion [NCIT:C3824]                    </v>
      </c>
      <c r="C84" s="29" t="str">
        <f>IFERROR(__xludf.DUMMYFUNCTION("""COMPUTED_VALUE"""),"NCIT:C3824")</f>
        <v>NCIT:C3824</v>
      </c>
      <c r="D84"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84" s="29"/>
      <c r="F84" s="29"/>
      <c r="G84" s="29"/>
      <c r="H84" s="56" t="s">
        <v>19</v>
      </c>
      <c r="I84" s="56" t="s">
        <v>19</v>
      </c>
      <c r="J84" s="56" t="s">
        <v>19</v>
      </c>
      <c r="K84" s="55" t="str">
        <f t="shared" si="6"/>
        <v>International</v>
      </c>
      <c r="M84" s="40"/>
    </row>
    <row r="85" hidden="1">
      <c r="A85" s="29"/>
      <c r="B85" s="53" t="str">
        <f>IFERROR(__xludf.DUMMYFUNCTION("""COMPUTED_VALUE"""),"     Lesion (Macule) [NCIT:C43278]               ")</f>
        <v>     Lesion (Macule) [NCIT:C43278]               </v>
      </c>
      <c r="C85" s="29" t="str">
        <f>IFERROR(__xludf.DUMMYFUNCTION("""COMPUTED_VALUE"""),"NCIT:C43278")</f>
        <v>NCIT:C43278</v>
      </c>
      <c r="D85" s="29" t="str">
        <f>IFERROR(__xludf.DUMMYFUNCTION("""COMPUTED_VALUE"""),"A flat lesion characterized by change in the skin color.")</f>
        <v>A flat lesion characterized by change in the skin color.</v>
      </c>
      <c r="E85" s="29"/>
      <c r="F85" s="29"/>
      <c r="G85" s="29"/>
      <c r="H85" s="56" t="s">
        <v>19</v>
      </c>
      <c r="I85" s="56" t="s">
        <v>19</v>
      </c>
      <c r="J85" s="56" t="s">
        <v>19</v>
      </c>
      <c r="K85" s="55" t="str">
        <f t="shared" si="6"/>
        <v>International</v>
      </c>
      <c r="M85" s="40"/>
    </row>
    <row r="86" hidden="1">
      <c r="A86" s="29"/>
      <c r="B86" s="53" t="str">
        <f>IFERROR(__xludf.DUMMYFUNCTION("""COMPUTED_VALUE"""),"     Lesion (Papule) [NCIT:C39690]               ")</f>
        <v>     Lesion (Papule) [NCIT:C39690]               </v>
      </c>
      <c r="C86" s="29" t="str">
        <f>IFERROR(__xludf.DUMMYFUNCTION("""COMPUTED_VALUE"""),"NCIT:C39690")</f>
        <v>NCIT:C39690</v>
      </c>
      <c r="D86" s="29" t="str">
        <f>IFERROR(__xludf.DUMMYFUNCTION("""COMPUTED_VALUE"""),"A small (less than 5-10 mm) elevation of skin that is non-suppurative.")</f>
        <v>A small (less than 5-10 mm) elevation of skin that is non-suppurative.</v>
      </c>
      <c r="E86" s="29"/>
      <c r="F86" s="29"/>
      <c r="G86" s="29"/>
      <c r="H86" s="56" t="s">
        <v>19</v>
      </c>
      <c r="I86" s="56" t="s">
        <v>19</v>
      </c>
      <c r="J86" s="56" t="s">
        <v>19</v>
      </c>
      <c r="K86" s="55" t="str">
        <f t="shared" si="6"/>
        <v>International</v>
      </c>
      <c r="M86" s="40"/>
    </row>
    <row r="87" hidden="1">
      <c r="A87" s="29"/>
      <c r="B87" s="53" t="str">
        <f>IFERROR(__xludf.DUMMYFUNCTION("""COMPUTED_VALUE"""),"     Lesion (Pustule) [NCIT:C78582]               ")</f>
        <v>     Lesion (Pustule) [NCIT:C78582]               </v>
      </c>
      <c r="C87" s="29" t="str">
        <f>IFERROR(__xludf.DUMMYFUNCTION("""COMPUTED_VALUE"""),"NCIT:C78582")</f>
        <v>NCIT:C78582</v>
      </c>
      <c r="D87" s="29" t="str">
        <f>IFERROR(__xludf.DUMMYFUNCTION("""COMPUTED_VALUE"""),"A circumscribed and elevated skin lesion filled with purulent material.")</f>
        <v>A circumscribed and elevated skin lesion filled with purulent material.</v>
      </c>
      <c r="E87" s="29"/>
      <c r="F87" s="29"/>
      <c r="G87" s="29"/>
      <c r="H87" s="56" t="s">
        <v>19</v>
      </c>
      <c r="I87" s="56" t="s">
        <v>19</v>
      </c>
      <c r="J87" s="56" t="s">
        <v>19</v>
      </c>
      <c r="K87" s="55" t="str">
        <f t="shared" si="6"/>
        <v>International</v>
      </c>
      <c r="M87" s="40"/>
    </row>
    <row r="88" hidden="1">
      <c r="A88" s="29"/>
      <c r="B88" s="53" t="str">
        <f>IFERROR(__xludf.DUMMYFUNCTION("""COMPUTED_VALUE"""),"     Lesion (Scab) [GENEPIO:0100490]               ")</f>
        <v>     Lesion (Scab) [GENEPIO:0100490]               </v>
      </c>
      <c r="C88" s="29" t="str">
        <f>IFERROR(__xludf.DUMMYFUNCTION("""COMPUTED_VALUE"""),"GENEPIO:0100490")</f>
        <v>GENEPIO:0100490</v>
      </c>
      <c r="D88" s="29" t="str">
        <f>IFERROR(__xludf.DUMMYFUNCTION("""COMPUTED_VALUE"""),"A dry, rough, crust-like lesion that forms over a wound or ulcer as part of the natural healing process. It consists of dried blood, serum, and cellular debris.")</f>
        <v>A dry, rough, crust-like lesion that forms over a wound or ulcer as part of the natural healing process. It consists of dried blood, serum, and cellular debris.</v>
      </c>
      <c r="E88" s="29"/>
      <c r="F88" s="29"/>
      <c r="G88" s="29"/>
      <c r="H88" s="56" t="s">
        <v>19</v>
      </c>
      <c r="I88" s="56" t="s">
        <v>19</v>
      </c>
      <c r="J88" s="56" t="s">
        <v>19</v>
      </c>
      <c r="K88" s="55" t="str">
        <f t="shared" si="6"/>
        <v>International</v>
      </c>
      <c r="M88" s="40"/>
    </row>
    <row r="89" hidden="1">
      <c r="A89" s="29"/>
      <c r="B89" s="53" t="str">
        <f>IFERROR(__xludf.DUMMYFUNCTION("""COMPUTED_VALUE"""),"     Lesion (Vesicle) [GENEPIO:0100491]               ")</f>
        <v>     Lesion (Vesicle) [GENEPIO:0100491]               </v>
      </c>
      <c r="C89" s="29" t="str">
        <f>IFERROR(__xludf.DUMMYFUNCTION("""COMPUTED_VALUE"""),"GENEPIO:0100491")</f>
        <v>GENEPIO:0100491</v>
      </c>
      <c r="D89" s="29" t="str">
        <f>IFERROR(__xludf.DUMMYFUNCTION("""COMPUTED_VALUE"""),"A small, fluid-filled elevation on the skin. Vesicles are often clear or slightly cloudy and can be a sign of various skin conditions or infections.")</f>
        <v>A small, fluid-filled elevation on the skin. Vesicles are often clear or slightly cloudy and can be a sign of various skin conditions or infections.</v>
      </c>
      <c r="E89" s="29"/>
      <c r="F89" s="29"/>
      <c r="G89" s="29"/>
      <c r="H89" s="56" t="s">
        <v>19</v>
      </c>
      <c r="I89" s="56" t="s">
        <v>19</v>
      </c>
      <c r="J89" s="56" t="s">
        <v>19</v>
      </c>
      <c r="K89" s="55" t="str">
        <f t="shared" si="6"/>
        <v>International</v>
      </c>
      <c r="M89" s="40"/>
    </row>
    <row r="90" hidden="1">
      <c r="A90" s="29"/>
      <c r="B90" s="53" t="str">
        <f>IFERROR(__xludf.DUMMYFUNCTION("""COMPUTED_VALUE"""),"Rash [SYMP:0000487]                    ")</f>
        <v>Rash [SYMP:0000487]                    </v>
      </c>
      <c r="C90" s="29" t="str">
        <f>IFERROR(__xludf.DUMMYFUNCTION("""COMPUTED_VALUE"""),"SYMP:0000487")</f>
        <v>SYMP:0000487</v>
      </c>
      <c r="D90" s="29" t="str">
        <f>IFERROR(__xludf.DUMMYFUNCTION("""COMPUTED_VALUE"""),"A skin and integumentary tissue symptom that is characterized by an eruption on the body typically with little or no elevation above the surface.")</f>
        <v>A skin and integumentary tissue symptom that is characterized by an eruption on the body typically with little or no elevation above the surface.</v>
      </c>
      <c r="E90" s="29"/>
      <c r="F90" s="29"/>
      <c r="G90" s="29"/>
      <c r="H90" s="56" t="s">
        <v>19</v>
      </c>
      <c r="I90" s="56" t="s">
        <v>19</v>
      </c>
      <c r="J90" s="56" t="s">
        <v>19</v>
      </c>
      <c r="K90" s="55" t="str">
        <f t="shared" si="6"/>
        <v>International</v>
      </c>
      <c r="M90" s="40"/>
    </row>
    <row r="91" hidden="1">
      <c r="A91" s="29"/>
      <c r="B91" s="53" t="str">
        <f>IFERROR(__xludf.DUMMYFUNCTION("""COMPUTED_VALUE"""),"Ulcer [NCIT:C3426]                    ")</f>
        <v>Ulcer [NCIT:C3426]                    </v>
      </c>
      <c r="C91" s="29" t="str">
        <f>IFERROR(__xludf.DUMMYFUNCTION("""COMPUTED_VALUE"""),"NCIT:C3426")</f>
        <v>NCIT:C3426</v>
      </c>
      <c r="D91"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91" s="29"/>
      <c r="F91" s="29"/>
      <c r="G91" s="29"/>
      <c r="H91" s="56" t="s">
        <v>19</v>
      </c>
      <c r="I91" s="56" t="s">
        <v>19</v>
      </c>
      <c r="J91" s="56" t="s">
        <v>19</v>
      </c>
      <c r="K91" s="55" t="str">
        <f t="shared" si="6"/>
        <v>International</v>
      </c>
      <c r="M91" s="40"/>
    </row>
    <row r="92" hidden="1">
      <c r="A92" s="29"/>
      <c r="B92" s="53" t="str">
        <f>IFERROR(__xludf.DUMMYFUNCTION("""COMPUTED_VALUE"""),"Tissue [UBERON:0000479]                    ")</f>
        <v>Tissue [UBERON:0000479]                    </v>
      </c>
      <c r="C92" s="29" t="str">
        <f>IFERROR(__xludf.DUMMYFUNCTION("""COMPUTED_VALUE"""),"UBERON:0000479")</f>
        <v>UBERON:0000479</v>
      </c>
      <c r="D92" s="29" t="str">
        <f>IFERROR(__xludf.DUMMYFUNCTION("""COMPUTED_VALUE"""),"Multicellular anatomical structure that consists of many cells of one or a few types, arranged in an extracellular matrix such that their long-range organisation is at least partly a repetition of their short-range organisation.")</f>
        <v>Multicellular anatomical structure that consists of many cells of one or a few types, arranged in an extracellular matrix such that their long-range organisation is at least partly a repetition of their short-range organisation.</v>
      </c>
      <c r="E92" s="29"/>
      <c r="F92" s="29"/>
      <c r="G92" s="29"/>
      <c r="H92" s="56" t="s">
        <v>19</v>
      </c>
      <c r="I92" s="56" t="s">
        <v>19</v>
      </c>
      <c r="J92" s="56" t="s">
        <v>19</v>
      </c>
      <c r="K92" s="55" t="str">
        <f t="shared" si="6"/>
        <v>International</v>
      </c>
      <c r="M92" s="40"/>
    </row>
    <row r="93" hidden="1">
      <c r="A93" s="29"/>
      <c r="B93" s="53" t="str">
        <f>IFERROR(__xludf.DUMMYFUNCTION("""COMPUTED_VALUE"""),"     Wound tissue (injury) [NCIT:C3671]               ")</f>
        <v>     Wound tissue (injury) [NCIT:C3671]               </v>
      </c>
      <c r="C93" s="29" t="str">
        <f>IFERROR(__xludf.DUMMYFUNCTION("""COMPUTED_VALUE"""),"NCIT:C3671")</f>
        <v>NCIT:C3671</v>
      </c>
      <c r="D93" s="29" t="str">
        <f>IFERROR(__xludf.DUMMYFUNCTION("""COMPUTED_VALUE"""),"Damage inflicted on the body as the direct or indirect result of an external force, with or without disruption of structural continuity.")</f>
        <v>Damage inflicted on the body as the direct or indirect result of an external force, with or without disruption of structural continuity.</v>
      </c>
      <c r="E93" s="29"/>
      <c r="F93" s="29"/>
      <c r="G93" s="29"/>
      <c r="H93" s="56" t="s">
        <v>19</v>
      </c>
      <c r="I93" s="56" t="s">
        <v>19</v>
      </c>
      <c r="J93" s="56" t="s">
        <v>19</v>
      </c>
      <c r="K93" s="55" t="str">
        <f t="shared" si="6"/>
        <v>International</v>
      </c>
      <c r="M93" s="40"/>
    </row>
    <row r="94" hidden="1">
      <c r="A94" s="29"/>
      <c r="B94" s="53" t="str">
        <f>IFERROR(__xludf.DUMMYFUNCTION("""COMPUTED_VALUE"""),"                    ")</f>
        <v>                    </v>
      </c>
      <c r="C94" s="29"/>
      <c r="D94" s="29" t="str">
        <f>IFERROR(__xludf.DUMMYFUNCTION("""COMPUTED_VALUE"""),"")</f>
        <v/>
      </c>
      <c r="E94" s="29"/>
      <c r="F94" s="29"/>
      <c r="G94" s="29"/>
      <c r="H94" s="56" t="s">
        <v>19</v>
      </c>
      <c r="I94" s="56" t="s">
        <v>19</v>
      </c>
      <c r="J94" s="56" t="s">
        <v>19</v>
      </c>
      <c r="K94" s="55" t="str">
        <f t="shared" si="6"/>
        <v>International</v>
      </c>
      <c r="M94" s="58"/>
    </row>
    <row r="95">
      <c r="A95" s="34" t="str">
        <f>IFERROR(__xludf.DUMMYFUNCTION("""COMPUTED_VALUE"""),"anatomical part menu")</f>
        <v>anatomical part menu</v>
      </c>
      <c r="B95" s="53" t="str">
        <f>IFERROR(__xludf.DUMMYFUNCTION("""COMPUTED_VALUE"""),"                    ")</f>
        <v>                    </v>
      </c>
      <c r="C95" s="34"/>
      <c r="D95" s="29" t="str">
        <f>IFERROR(__xludf.DUMMYFUNCTION("""COMPUTED_VALUE"""),"")</f>
        <v/>
      </c>
      <c r="E95" s="34"/>
      <c r="F95" s="34"/>
      <c r="G95" s="34"/>
      <c r="H95" s="34"/>
      <c r="I95" s="34"/>
      <c r="J95" s="34"/>
      <c r="K95" s="34" t="str">
        <f>VLOOKUP(L95,'Field Reference Guide'!$B$7:$N$207,13,false)</f>
        <v>Mpox</v>
      </c>
      <c r="L95" s="34" t="str">
        <f>LEFT(A95, LEN(A95) - 5)
</f>
        <v>anatomical part</v>
      </c>
      <c r="M95" s="34" t="str">
        <f>VLOOKUP(L95,'Field Reference Guide'!$B$6:$N$220,13,false)</f>
        <v>Mpox</v>
      </c>
    </row>
    <row r="96">
      <c r="A96" s="34"/>
      <c r="B96" s="53" t="str">
        <f>IFERROR(__xludf.DUMMYFUNCTION("""COMPUTED_VALUE"""),"Anus                    ")</f>
        <v>Anus                    </v>
      </c>
      <c r="C96" s="34" t="str">
        <f>IFERROR(__xludf.DUMMYFUNCTION("""COMPUTED_VALUE"""),"UBERON:0001245")</f>
        <v>UBERON:0001245</v>
      </c>
      <c r="D96"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H96" s="55" t="s">
        <v>19</v>
      </c>
      <c r="I96" s="55" t="s">
        <v>19</v>
      </c>
      <c r="J96" s="55" t="s">
        <v>19</v>
      </c>
      <c r="K96" s="55" t="str">
        <f t="shared" ref="K96:K148" si="7">K95</f>
        <v>Mpox</v>
      </c>
      <c r="M96" s="57" t="s">
        <v>26</v>
      </c>
    </row>
    <row r="97">
      <c r="A97" s="34"/>
      <c r="B97" s="53" t="str">
        <f>IFERROR(__xludf.DUMMYFUNCTION("""COMPUTED_VALUE"""),"     Perianal skin               ")</f>
        <v>     Perianal skin               </v>
      </c>
      <c r="C97" s="34" t="str">
        <f>IFERROR(__xludf.DUMMYFUNCTION("""COMPUTED_VALUE"""),"UBERON:0012336")</f>
        <v>UBERON:0012336</v>
      </c>
      <c r="D97" s="29" t="str">
        <f>IFERROR(__xludf.DUMMYFUNCTION("""COMPUTED_VALUE"""),"A zone of skin that is part of the area surrounding the anus.")</f>
        <v>A zone of skin that is part of the area surrounding the anus.</v>
      </c>
      <c r="H97" s="55" t="s">
        <v>19</v>
      </c>
      <c r="I97" s="55" t="s">
        <v>19</v>
      </c>
      <c r="J97" s="55" t="s">
        <v>19</v>
      </c>
      <c r="K97" s="55" t="str">
        <f t="shared" si="7"/>
        <v>Mpox</v>
      </c>
      <c r="M97" s="40"/>
    </row>
    <row r="98">
      <c r="A98" s="34"/>
      <c r="B98" s="53" t="str">
        <f>IFERROR(__xludf.DUMMYFUNCTION("""COMPUTED_VALUE"""),"Arm                    ")</f>
        <v>Arm                    </v>
      </c>
      <c r="C98" s="34" t="str">
        <f>IFERROR(__xludf.DUMMYFUNCTION("""COMPUTED_VALUE"""),"UBERON:0001460")</f>
        <v>UBERON:0001460</v>
      </c>
      <c r="D98" s="29" t="str">
        <f>IFERROR(__xludf.DUMMYFUNCTION("""COMPUTED_VALUE"""),"The part of the forelimb extending from the shoulder to the autopod.")</f>
        <v>The part of the forelimb extending from the shoulder to the autopod.</v>
      </c>
      <c r="H98" s="55" t="s">
        <v>19</v>
      </c>
      <c r="I98" s="55" t="s">
        <v>19</v>
      </c>
      <c r="J98" s="55" t="s">
        <v>19</v>
      </c>
      <c r="K98" s="55" t="str">
        <f t="shared" si="7"/>
        <v>Mpox</v>
      </c>
      <c r="M98" s="40"/>
    </row>
    <row r="99">
      <c r="A99" s="34"/>
      <c r="B99" s="53" t="str">
        <f>IFERROR(__xludf.DUMMYFUNCTION("""COMPUTED_VALUE"""),"     Arm (forearm)               ")</f>
        <v>     Arm (forearm)               </v>
      </c>
      <c r="C99" s="34" t="str">
        <f>IFERROR(__xludf.DUMMYFUNCTION("""COMPUTED_VALUE"""),"NCIT:C32628")</f>
        <v>NCIT:C32628</v>
      </c>
      <c r="D99" s="29" t="str">
        <f>IFERROR(__xludf.DUMMYFUNCTION("""COMPUTED_VALUE"""),"The structure on the upper limb, between the elbow and the wrist.")</f>
        <v>The structure on the upper limb, between the elbow and the wrist.</v>
      </c>
      <c r="H99" s="55" t="s">
        <v>19</v>
      </c>
      <c r="I99" s="55" t="s">
        <v>19</v>
      </c>
      <c r="J99" s="55" t="s">
        <v>19</v>
      </c>
      <c r="K99" s="55" t="str">
        <f t="shared" si="7"/>
        <v>Mpox</v>
      </c>
      <c r="M99" s="40"/>
    </row>
    <row r="100">
      <c r="A100" s="34"/>
      <c r="B100" s="53" t="str">
        <f>IFERROR(__xludf.DUMMYFUNCTION("""COMPUTED_VALUE"""),"     Elbow               ")</f>
        <v>     Elbow               </v>
      </c>
      <c r="C100" s="34" t="str">
        <f>IFERROR(__xludf.DUMMYFUNCTION("""COMPUTED_VALUE"""),"UBERON:0001461")</f>
        <v>UBERON:0001461</v>
      </c>
      <c r="D100"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H100" s="55" t="s">
        <v>19</v>
      </c>
      <c r="I100" s="55" t="s">
        <v>19</v>
      </c>
      <c r="J100" s="55" t="s">
        <v>19</v>
      </c>
      <c r="K100" s="55" t="str">
        <f t="shared" si="7"/>
        <v>Mpox</v>
      </c>
      <c r="M100" s="40"/>
    </row>
    <row r="101">
      <c r="A101" s="34"/>
      <c r="B101" s="53" t="str">
        <f>IFERROR(__xludf.DUMMYFUNCTION("""COMPUTED_VALUE"""),"Back                    ")</f>
        <v>Back                    </v>
      </c>
      <c r="C101" s="34" t="str">
        <f>IFERROR(__xludf.DUMMYFUNCTION("""COMPUTED_VALUE"""),"FMA:14181")</f>
        <v>FMA:14181</v>
      </c>
      <c r="D101" s="29" t="str">
        <f>IFERROR(__xludf.DUMMYFUNCTION("""COMPUTED_VALUE"""),"The rear surface of the human body from the shoulders to the hips.")</f>
        <v>The rear surface of the human body from the shoulders to the hips.</v>
      </c>
      <c r="H101" s="55" t="s">
        <v>19</v>
      </c>
      <c r="I101" s="55" t="s">
        <v>19</v>
      </c>
      <c r="J101" s="55" t="s">
        <v>19</v>
      </c>
      <c r="K101" s="55" t="str">
        <f t="shared" si="7"/>
        <v>Mpox</v>
      </c>
      <c r="M101" s="40"/>
    </row>
    <row r="102">
      <c r="A102" s="34"/>
      <c r="B102" s="53" t="str">
        <f>IFERROR(__xludf.DUMMYFUNCTION("""COMPUTED_VALUE"""),"Buttock                    ")</f>
        <v>Buttock                    </v>
      </c>
      <c r="C102" s="34" t="str">
        <f>IFERROR(__xludf.DUMMYFUNCTION("""COMPUTED_VALUE"""),"UBERON:0013691")</f>
        <v>UBERON:0013691</v>
      </c>
      <c r="D102"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H102" s="55" t="s">
        <v>19</v>
      </c>
      <c r="I102" s="55" t="s">
        <v>19</v>
      </c>
      <c r="J102" s="55" t="s">
        <v>19</v>
      </c>
      <c r="K102" s="55" t="str">
        <f t="shared" si="7"/>
        <v>Mpox</v>
      </c>
      <c r="M102" s="40"/>
    </row>
    <row r="103">
      <c r="A103" s="34"/>
      <c r="B103" s="53" t="str">
        <f>IFERROR(__xludf.DUMMYFUNCTION("""COMPUTED_VALUE"""),"Cervix                    ")</f>
        <v>Cervix                    </v>
      </c>
      <c r="C103" s="34" t="str">
        <f>IFERROR(__xludf.DUMMYFUNCTION("""COMPUTED_VALUE"""),"UBERON:0000002")</f>
        <v>UBERON:0000002</v>
      </c>
      <c r="D103" s="29" t="str">
        <f>IFERROR(__xludf.DUMMYFUNCTION("""COMPUTED_VALUE"""),"Lower, narrow portion of the uterus where it joins with the top end of the vagina.")</f>
        <v>Lower, narrow portion of the uterus where it joins with the top end of the vagina.</v>
      </c>
      <c r="H103" s="55" t="s">
        <v>19</v>
      </c>
      <c r="I103" s="55" t="s">
        <v>19</v>
      </c>
      <c r="J103" s="55" t="s">
        <v>19</v>
      </c>
      <c r="K103" s="55" t="str">
        <f t="shared" si="7"/>
        <v>Mpox</v>
      </c>
      <c r="M103" s="40"/>
    </row>
    <row r="104">
      <c r="A104" s="34"/>
      <c r="B104" s="53" t="str">
        <f>IFERROR(__xludf.DUMMYFUNCTION("""COMPUTED_VALUE"""),"Chest                    ")</f>
        <v>Chest                    </v>
      </c>
      <c r="C104" s="34" t="str">
        <f>IFERROR(__xludf.DUMMYFUNCTION("""COMPUTED_VALUE"""),"UBERON:0001443")</f>
        <v>UBERON:0001443</v>
      </c>
      <c r="D104"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H104" s="55" t="s">
        <v>19</v>
      </c>
      <c r="I104" s="55" t="s">
        <v>19</v>
      </c>
      <c r="J104" s="55" t="s">
        <v>19</v>
      </c>
      <c r="K104" s="55" t="str">
        <f t="shared" si="7"/>
        <v>Mpox</v>
      </c>
      <c r="M104" s="40"/>
    </row>
    <row r="105">
      <c r="A105" s="34"/>
      <c r="B105" s="53" t="str">
        <f>IFERROR(__xludf.DUMMYFUNCTION("""COMPUTED_VALUE"""),"Foot                    ")</f>
        <v>Foot                    </v>
      </c>
      <c r="C105" s="34" t="str">
        <f>IFERROR(__xludf.DUMMYFUNCTION("""COMPUTED_VALUE"""),"BTO:0000476")</f>
        <v>BTO:0000476</v>
      </c>
      <c r="D105" s="29" t="str">
        <f>IFERROR(__xludf.DUMMYFUNCTION("""COMPUTED_VALUE"""),"The terminal part of the vertebrate leg upon which an individual stands. 2: An invertebrate organ of locomotion or attachment; especially: a ventral muscular surface or process of a mollusk.")</f>
        <v>The terminal part of the vertebrate leg upon which an individual stands. 2: An invertebrate organ of locomotion or attachment; especially: a ventral muscular surface or process of a mollusk.</v>
      </c>
      <c r="H105" s="55" t="s">
        <v>19</v>
      </c>
      <c r="I105" s="55" t="s">
        <v>19</v>
      </c>
      <c r="J105" s="55" t="s">
        <v>19</v>
      </c>
      <c r="K105" s="55" t="str">
        <f t="shared" si="7"/>
        <v>Mpox</v>
      </c>
      <c r="M105" s="40"/>
    </row>
    <row r="106">
      <c r="A106" s="34"/>
      <c r="B106" s="53" t="str">
        <f>IFERROR(__xludf.DUMMYFUNCTION("""COMPUTED_VALUE"""),"Genital area                    ")</f>
        <v>Genital area                    </v>
      </c>
      <c r="C106" s="34" t="str">
        <f>IFERROR(__xludf.DUMMYFUNCTION("""COMPUTED_VALUE"""),"BTO:0003358")</f>
        <v>BTO:0003358</v>
      </c>
      <c r="D106"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H106" s="55" t="s">
        <v>19</v>
      </c>
      <c r="I106" s="55" t="s">
        <v>19</v>
      </c>
      <c r="J106" s="55" t="s">
        <v>19</v>
      </c>
      <c r="K106" s="55" t="str">
        <f t="shared" si="7"/>
        <v>Mpox</v>
      </c>
      <c r="M106" s="40"/>
    </row>
    <row r="107">
      <c r="A107" s="34"/>
      <c r="B107" s="53" t="str">
        <f>IFERROR(__xludf.DUMMYFUNCTION("""COMPUTED_VALUE"""),"     Penis               ")</f>
        <v>     Penis               </v>
      </c>
      <c r="C107" s="34" t="str">
        <f>IFERROR(__xludf.DUMMYFUNCTION("""COMPUTED_VALUE"""),"UBERON:0000989")</f>
        <v>UBERON:0000989</v>
      </c>
      <c r="D107"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H107" s="55" t="s">
        <v>19</v>
      </c>
      <c r="I107" s="55" t="s">
        <v>19</v>
      </c>
      <c r="J107" s="55" t="s">
        <v>19</v>
      </c>
      <c r="K107" s="55" t="str">
        <f t="shared" si="7"/>
        <v>Mpox</v>
      </c>
      <c r="M107" s="40"/>
    </row>
    <row r="108">
      <c r="A108" s="34"/>
      <c r="B108" s="53" t="str">
        <f>IFERROR(__xludf.DUMMYFUNCTION("""COMPUTED_VALUE"""),"          Glans (tip of penis)          ")</f>
        <v>          Glans (tip of penis)          </v>
      </c>
      <c r="C108" s="34" t="str">
        <f>IFERROR(__xludf.DUMMYFUNCTION("""COMPUTED_VALUE"""),"UBERON:0035651")</f>
        <v>UBERON:0035651</v>
      </c>
      <c r="D108" s="29" t="str">
        <f>IFERROR(__xludf.DUMMYFUNCTION("""COMPUTED_VALUE"""),"The bulbous structure at the distal end of the human penis")</f>
        <v>The bulbous structure at the distal end of the human penis</v>
      </c>
      <c r="H108" s="55" t="s">
        <v>19</v>
      </c>
      <c r="I108" s="55" t="s">
        <v>19</v>
      </c>
      <c r="J108" s="55" t="s">
        <v>19</v>
      </c>
      <c r="K108" s="55" t="str">
        <f t="shared" si="7"/>
        <v>Mpox</v>
      </c>
      <c r="M108" s="40"/>
    </row>
    <row r="109">
      <c r="A109" s="34"/>
      <c r="B109" s="53" t="str">
        <f>IFERROR(__xludf.DUMMYFUNCTION("""COMPUTED_VALUE"""),"          Prepuce of penis (foreskin)          ")</f>
        <v>          Prepuce of penis (foreskin)          </v>
      </c>
      <c r="C109" s="34" t="str">
        <f>IFERROR(__xludf.DUMMYFUNCTION("""COMPUTED_VALUE"""),"UBERON:0001332")</f>
        <v>UBERON:0001332</v>
      </c>
      <c r="D109"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H109" s="55" t="s">
        <v>19</v>
      </c>
      <c r="I109" s="55" t="s">
        <v>19</v>
      </c>
      <c r="J109" s="55" t="s">
        <v>19</v>
      </c>
      <c r="K109" s="55" t="str">
        <f t="shared" si="7"/>
        <v>Mpox</v>
      </c>
      <c r="M109" s="40"/>
    </row>
    <row r="110">
      <c r="A110" s="34"/>
      <c r="B110" s="53" t="str">
        <f>IFERROR(__xludf.DUMMYFUNCTION("""COMPUTED_VALUE"""),"     Perineum               ")</f>
        <v>     Perineum               </v>
      </c>
      <c r="C110" s="34" t="str">
        <f>IFERROR(__xludf.DUMMYFUNCTION("""COMPUTED_VALUE"""),"UBERON:0002356")</f>
        <v>UBERON:0002356</v>
      </c>
      <c r="D110"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H110" s="55" t="s">
        <v>19</v>
      </c>
      <c r="I110" s="55" t="s">
        <v>19</v>
      </c>
      <c r="J110" s="55" t="s">
        <v>19</v>
      </c>
      <c r="K110" s="55" t="str">
        <f t="shared" si="7"/>
        <v>Mpox</v>
      </c>
      <c r="M110" s="40"/>
    </row>
    <row r="111">
      <c r="A111" s="34"/>
      <c r="B111" s="53" t="str">
        <f>IFERROR(__xludf.DUMMYFUNCTION("""COMPUTED_VALUE"""),"     Scrotum               ")</f>
        <v>     Scrotum               </v>
      </c>
      <c r="C111" s="34" t="str">
        <f>IFERROR(__xludf.DUMMYFUNCTION("""COMPUTED_VALUE"""),"UBERON:0001300")</f>
        <v>UBERON:0001300</v>
      </c>
      <c r="D111"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H111" s="55" t="s">
        <v>19</v>
      </c>
      <c r="I111" s="55" t="s">
        <v>19</v>
      </c>
      <c r="J111" s="55" t="s">
        <v>19</v>
      </c>
      <c r="K111" s="55" t="str">
        <f t="shared" si="7"/>
        <v>Mpox</v>
      </c>
      <c r="M111" s="40"/>
    </row>
    <row r="112">
      <c r="A112" s="34"/>
      <c r="B112" s="53" t="str">
        <f>IFERROR(__xludf.DUMMYFUNCTION("""COMPUTED_VALUE"""),"     Vagina               ")</f>
        <v>     Vagina               </v>
      </c>
      <c r="C112" s="34" t="str">
        <f>IFERROR(__xludf.DUMMYFUNCTION("""COMPUTED_VALUE"""),"UBERON:0000996")</f>
        <v>UBERON:0000996</v>
      </c>
      <c r="D112"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H112" s="55" t="s">
        <v>19</v>
      </c>
      <c r="I112" s="55" t="s">
        <v>19</v>
      </c>
      <c r="J112" s="55" t="s">
        <v>19</v>
      </c>
      <c r="K112" s="55" t="str">
        <f t="shared" si="7"/>
        <v>Mpox</v>
      </c>
      <c r="M112" s="40"/>
    </row>
    <row r="113">
      <c r="A113" s="34"/>
      <c r="B113" s="53" t="str">
        <f>IFERROR(__xludf.DUMMYFUNCTION("""COMPUTED_VALUE"""),"Gland                    ")</f>
        <v>Gland                    </v>
      </c>
      <c r="C113" s="34" t="str">
        <f>IFERROR(__xludf.DUMMYFUNCTION("""COMPUTED_VALUE"""),"UBERON:0002530")</f>
        <v>UBERON:0002530</v>
      </c>
      <c r="D113" s="29" t="str">
        <f>IFERROR(__xludf.DUMMYFUNCTION("""COMPUTED_VALUE"""),"An organ that functions as a secretory or excretory organ.")</f>
        <v>An organ that functions as a secretory or excretory organ.</v>
      </c>
      <c r="H113" s="55" t="s">
        <v>19</v>
      </c>
      <c r="I113" s="55" t="s">
        <v>19</v>
      </c>
      <c r="J113" s="55" t="s">
        <v>19</v>
      </c>
      <c r="K113" s="55" t="str">
        <f t="shared" si="7"/>
        <v>Mpox</v>
      </c>
      <c r="M113" s="40"/>
    </row>
    <row r="114">
      <c r="A114" s="34"/>
      <c r="B114" s="53" t="str">
        <f>IFERROR(__xludf.DUMMYFUNCTION("""COMPUTED_VALUE"""),"Hand                    ")</f>
        <v>Hand                    </v>
      </c>
      <c r="C114" s="34" t="str">
        <f>IFERROR(__xludf.DUMMYFUNCTION("""COMPUTED_VALUE"""),"BTO:0004668")</f>
        <v>BTO:0004668</v>
      </c>
      <c r="D114" s="29" t="str">
        <f>IFERROR(__xludf.DUMMYFUNCTION("""COMPUTED_VALUE"""),"The terminal part of the vertebrate forelimb when modified, as in humans, as a grasping organ.")</f>
        <v>The terminal part of the vertebrate forelimb when modified, as in humans, as a grasping organ.</v>
      </c>
      <c r="H114" s="55" t="s">
        <v>19</v>
      </c>
      <c r="I114" s="55" t="s">
        <v>19</v>
      </c>
      <c r="J114" s="55" t="s">
        <v>19</v>
      </c>
      <c r="K114" s="55" t="str">
        <f t="shared" si="7"/>
        <v>Mpox</v>
      </c>
      <c r="M114" s="40"/>
    </row>
    <row r="115">
      <c r="A115" s="34"/>
      <c r="B115" s="53" t="str">
        <f>IFERROR(__xludf.DUMMYFUNCTION("""COMPUTED_VALUE"""),"     Finger               ")</f>
        <v>     Finger               </v>
      </c>
      <c r="C115" s="34" t="str">
        <f>IFERROR(__xludf.DUMMYFUNCTION("""COMPUTED_VALUE"""),"FMA:9666")</f>
        <v>FMA:9666</v>
      </c>
      <c r="D115"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H115" s="55" t="s">
        <v>19</v>
      </c>
      <c r="I115" s="55" t="s">
        <v>19</v>
      </c>
      <c r="J115" s="55" t="s">
        <v>19</v>
      </c>
      <c r="K115" s="55" t="str">
        <f t="shared" si="7"/>
        <v>Mpox</v>
      </c>
      <c r="M115" s="40"/>
    </row>
    <row r="116">
      <c r="A116" s="34"/>
      <c r="B116" s="53" t="str">
        <f>IFERROR(__xludf.DUMMYFUNCTION("""COMPUTED_VALUE"""),"     Hand (palm)               ")</f>
        <v>     Hand (palm)               </v>
      </c>
      <c r="C116" s="34" t="str">
        <f>IFERROR(__xludf.DUMMYFUNCTION("""COMPUTED_VALUE"""),"FMA:24920")</f>
        <v>FMA:24920</v>
      </c>
      <c r="D116" s="29" t="str">
        <f>IFERROR(__xludf.DUMMYFUNCTION("""COMPUTED_VALUE"""),"The inner surface of the hand between the wrist and fingers.")</f>
        <v>The inner surface of the hand between the wrist and fingers.</v>
      </c>
      <c r="H116" s="55" t="s">
        <v>19</v>
      </c>
      <c r="I116" s="55" t="s">
        <v>19</v>
      </c>
      <c r="J116" s="55" t="s">
        <v>19</v>
      </c>
      <c r="K116" s="55" t="str">
        <f t="shared" si="7"/>
        <v>Mpox</v>
      </c>
      <c r="M116" s="40"/>
    </row>
    <row r="117">
      <c r="A117" s="34"/>
      <c r="B117" s="53" t="str">
        <f>IFERROR(__xludf.DUMMYFUNCTION("""COMPUTED_VALUE"""),"Head                    ")</f>
        <v>Head                    </v>
      </c>
      <c r="C117" s="34" t="str">
        <f>IFERROR(__xludf.DUMMYFUNCTION("""COMPUTED_VALUE"""),"UBERON:0000033")</f>
        <v>UBERON:0000033</v>
      </c>
      <c r="D117" s="29" t="str">
        <f>IFERROR(__xludf.DUMMYFUNCTION("""COMPUTED_VALUE"""),"The head is the anterior-most division of the body.")</f>
        <v>The head is the anterior-most division of the body.</v>
      </c>
      <c r="H117" s="55" t="s">
        <v>19</v>
      </c>
      <c r="I117" s="55" t="s">
        <v>19</v>
      </c>
      <c r="J117" s="55" t="s">
        <v>19</v>
      </c>
      <c r="K117" s="55" t="str">
        <f t="shared" si="7"/>
        <v>Mpox</v>
      </c>
      <c r="M117" s="40"/>
    </row>
    <row r="118">
      <c r="A118" s="34"/>
      <c r="B118" s="53" t="str">
        <f>IFERROR(__xludf.DUMMYFUNCTION("""COMPUTED_VALUE"""),"     Buccal mucosa               ")</f>
        <v>     Buccal mucosa               </v>
      </c>
      <c r="C118" s="34" t="str">
        <f>IFERROR(__xludf.DUMMYFUNCTION("""COMPUTED_VALUE"""),"UBERON:0006956")</f>
        <v>UBERON:0006956</v>
      </c>
      <c r="D118" s="29" t="str">
        <f>IFERROR(__xludf.DUMMYFUNCTION("""COMPUTED_VALUE"""),"The inner lining of the cheeks and lips.")</f>
        <v>The inner lining of the cheeks and lips.</v>
      </c>
      <c r="H118" s="55" t="s">
        <v>19</v>
      </c>
      <c r="I118" s="55" t="s">
        <v>19</v>
      </c>
      <c r="J118" s="55" t="s">
        <v>19</v>
      </c>
      <c r="K118" s="55" t="str">
        <f t="shared" si="7"/>
        <v>Mpox</v>
      </c>
      <c r="M118" s="40"/>
    </row>
    <row r="119">
      <c r="A119" s="34"/>
      <c r="B119" s="53" t="str">
        <f>IFERROR(__xludf.DUMMYFUNCTION("""COMPUTED_VALUE"""),"     Cheek               ")</f>
        <v>     Cheek               </v>
      </c>
      <c r="C119" s="34" t="str">
        <f>IFERROR(__xludf.DUMMYFUNCTION("""COMPUTED_VALUE"""),"UBERON:0001567")</f>
        <v>UBERON:0001567</v>
      </c>
      <c r="D119" s="29" t="str">
        <f>IFERROR(__xludf.DUMMYFUNCTION("""COMPUTED_VALUE"""),"A fleshy subdivision of one side of the face bounded by an eye, ear and the nose.")</f>
        <v>A fleshy subdivision of one side of the face bounded by an eye, ear and the nose.</v>
      </c>
      <c r="H119" s="55" t="s">
        <v>19</v>
      </c>
      <c r="I119" s="55" t="s">
        <v>19</v>
      </c>
      <c r="J119" s="55" t="s">
        <v>19</v>
      </c>
      <c r="K119" s="55" t="str">
        <f t="shared" si="7"/>
        <v>Mpox</v>
      </c>
      <c r="M119" s="40"/>
    </row>
    <row r="120">
      <c r="A120" s="34"/>
      <c r="B120" s="53" t="str">
        <f>IFERROR(__xludf.DUMMYFUNCTION("""COMPUTED_VALUE"""),"     Ear               ")</f>
        <v>     Ear               </v>
      </c>
      <c r="C120" s="34" t="str">
        <f>IFERROR(__xludf.DUMMYFUNCTION("""COMPUTED_VALUE"""),"UBERON:0001690")</f>
        <v>UBERON:0001690</v>
      </c>
      <c r="D120"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H120" s="55" t="s">
        <v>19</v>
      </c>
      <c r="I120" s="55" t="s">
        <v>19</v>
      </c>
      <c r="J120" s="55" t="s">
        <v>19</v>
      </c>
      <c r="K120" s="55" t="str">
        <f t="shared" si="7"/>
        <v>Mpox</v>
      </c>
      <c r="M120" s="40"/>
    </row>
    <row r="121">
      <c r="A121" s="34"/>
      <c r="B121" s="53" t="str">
        <f>IFERROR(__xludf.DUMMYFUNCTION("""COMPUTED_VALUE"""),"          Preauricular region          ")</f>
        <v>          Preauricular region          </v>
      </c>
      <c r="C121" s="34" t="str">
        <f>IFERROR(__xludf.DUMMYFUNCTION("""COMPUTED_VALUE"""),"NCIT:C103848")</f>
        <v>NCIT:C103848</v>
      </c>
      <c r="D121" s="29" t="str">
        <f>IFERROR(__xludf.DUMMYFUNCTION("""COMPUTED_VALUE"""),"Of or pertaining to the area in front of the auricle of the ear.")</f>
        <v>Of or pertaining to the area in front of the auricle of the ear.</v>
      </c>
      <c r="H121" s="55" t="s">
        <v>19</v>
      </c>
      <c r="I121" s="55" t="s">
        <v>19</v>
      </c>
      <c r="J121" s="55" t="s">
        <v>19</v>
      </c>
      <c r="K121" s="55" t="str">
        <f t="shared" si="7"/>
        <v>Mpox</v>
      </c>
      <c r="M121" s="40"/>
    </row>
    <row r="122">
      <c r="A122" s="34"/>
      <c r="B122" s="53" t="str">
        <f>IFERROR(__xludf.DUMMYFUNCTION("""COMPUTED_VALUE"""),"     Eye               ")</f>
        <v>     Eye               </v>
      </c>
      <c r="C122" s="34" t="str">
        <f>IFERROR(__xludf.DUMMYFUNCTION("""COMPUTED_VALUE"""),"UBERON:0000970")</f>
        <v>UBERON:0000970</v>
      </c>
      <c r="D122" s="29" t="str">
        <f>IFERROR(__xludf.DUMMYFUNCTION("""COMPUTED_VALUE"""),"An organ that detects light.")</f>
        <v>An organ that detects light.</v>
      </c>
      <c r="H122" s="55" t="s">
        <v>19</v>
      </c>
      <c r="I122" s="55" t="s">
        <v>19</v>
      </c>
      <c r="J122" s="55" t="s">
        <v>19</v>
      </c>
      <c r="K122" s="55" t="str">
        <f t="shared" si="7"/>
        <v>Mpox</v>
      </c>
      <c r="M122" s="40"/>
    </row>
    <row r="123">
      <c r="A123" s="34"/>
      <c r="B123" s="53" t="str">
        <f>IFERROR(__xludf.DUMMYFUNCTION("""COMPUTED_VALUE"""),"     Face               ")</f>
        <v>     Face               </v>
      </c>
      <c r="C123" s="34" t="str">
        <f>IFERROR(__xludf.DUMMYFUNCTION("""COMPUTED_VALUE"""),"UBERON:0001456")</f>
        <v>UBERON:0001456</v>
      </c>
      <c r="D123"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H123" s="55" t="s">
        <v>19</v>
      </c>
      <c r="I123" s="55" t="s">
        <v>19</v>
      </c>
      <c r="J123" s="55" t="s">
        <v>19</v>
      </c>
      <c r="K123" s="55" t="str">
        <f t="shared" si="7"/>
        <v>Mpox</v>
      </c>
      <c r="M123" s="40"/>
    </row>
    <row r="124">
      <c r="A124" s="34"/>
      <c r="B124" s="53" t="str">
        <f>IFERROR(__xludf.DUMMYFUNCTION("""COMPUTED_VALUE"""),"     Forehead               ")</f>
        <v>     Forehead               </v>
      </c>
      <c r="C124" s="34" t="str">
        <f>IFERROR(__xludf.DUMMYFUNCTION("""COMPUTED_VALUE"""),"UBERON:0008200")</f>
        <v>UBERON:0008200</v>
      </c>
      <c r="D124"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H124" s="55" t="s">
        <v>19</v>
      </c>
      <c r="I124" s="55" t="s">
        <v>19</v>
      </c>
      <c r="J124" s="55" t="s">
        <v>19</v>
      </c>
      <c r="K124" s="55" t="str">
        <f t="shared" si="7"/>
        <v>Mpox</v>
      </c>
      <c r="M124" s="40"/>
    </row>
    <row r="125">
      <c r="A125" s="34"/>
      <c r="B125" s="53" t="str">
        <f>IFERROR(__xludf.DUMMYFUNCTION("""COMPUTED_VALUE"""),"     Lip               ")</f>
        <v>     Lip               </v>
      </c>
      <c r="C125" s="34" t="str">
        <f>IFERROR(__xludf.DUMMYFUNCTION("""COMPUTED_VALUE"""),"UBERON:0001833")</f>
        <v>UBERON:0001833</v>
      </c>
      <c r="D125" s="29" t="str">
        <f>IFERROR(__xludf.DUMMYFUNCTION("""COMPUTED_VALUE"""),"One of the two fleshy folds which surround the opening of the mouth.")</f>
        <v>One of the two fleshy folds which surround the opening of the mouth.</v>
      </c>
      <c r="H125" s="55" t="s">
        <v>19</v>
      </c>
      <c r="I125" s="55" t="s">
        <v>19</v>
      </c>
      <c r="J125" s="55" t="s">
        <v>19</v>
      </c>
      <c r="K125" s="55" t="str">
        <f t="shared" si="7"/>
        <v>Mpox</v>
      </c>
      <c r="M125" s="40"/>
    </row>
    <row r="126">
      <c r="A126" s="34"/>
      <c r="B126" s="53" t="str">
        <f>IFERROR(__xludf.DUMMYFUNCTION("""COMPUTED_VALUE"""),"     Jaw               ")</f>
        <v>     Jaw               </v>
      </c>
      <c r="C126" s="34" t="str">
        <f>IFERROR(__xludf.DUMMYFUNCTION("""COMPUTED_VALUE"""),"UBERON:0011595")</f>
        <v>UBERON:0011595</v>
      </c>
      <c r="D126"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H126" s="55" t="s">
        <v>19</v>
      </c>
      <c r="I126" s="55" t="s">
        <v>19</v>
      </c>
      <c r="J126" s="55" t="s">
        <v>19</v>
      </c>
      <c r="K126" s="55" t="str">
        <f t="shared" si="7"/>
        <v>Mpox</v>
      </c>
      <c r="M126" s="40"/>
    </row>
    <row r="127">
      <c r="A127" s="34"/>
      <c r="B127" s="53" t="str">
        <f>IFERROR(__xludf.DUMMYFUNCTION("""COMPUTED_VALUE"""),"     Tongue               ")</f>
        <v>     Tongue               </v>
      </c>
      <c r="C127" s="34" t="str">
        <f>IFERROR(__xludf.DUMMYFUNCTION("""COMPUTED_VALUE"""),"UBERON:0001723")</f>
        <v>UBERON:0001723</v>
      </c>
      <c r="D127" s="29" t="str">
        <f>IFERROR(__xludf.DUMMYFUNCTION("""COMPUTED_VALUE"""),"A muscular organ in the floor of the mouth.")</f>
        <v>A muscular organ in the floor of the mouth.</v>
      </c>
      <c r="H127" s="55" t="s">
        <v>19</v>
      </c>
      <c r="I127" s="55" t="s">
        <v>19</v>
      </c>
      <c r="J127" s="55" t="s">
        <v>19</v>
      </c>
      <c r="K127" s="55" t="str">
        <f t="shared" si="7"/>
        <v>Mpox</v>
      </c>
      <c r="M127" s="40"/>
    </row>
    <row r="128">
      <c r="A128" s="34"/>
      <c r="B128" s="53" t="str">
        <f>IFERROR(__xludf.DUMMYFUNCTION("""COMPUTED_VALUE"""),"Hypogastrium (suprapubic region)                    ")</f>
        <v>Hypogastrium (suprapubic region)                    </v>
      </c>
      <c r="C128" s="34" t="str">
        <f>IFERROR(__xludf.DUMMYFUNCTION("""COMPUTED_VALUE"""),"UBERON:0013203")</f>
        <v>UBERON:0013203</v>
      </c>
      <c r="D128"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H128" s="55" t="s">
        <v>19</v>
      </c>
      <c r="I128" s="55" t="s">
        <v>19</v>
      </c>
      <c r="J128" s="55" t="s">
        <v>19</v>
      </c>
      <c r="K128" s="55" t="str">
        <f t="shared" si="7"/>
        <v>Mpox</v>
      </c>
      <c r="M128" s="40"/>
    </row>
    <row r="129">
      <c r="A129" s="34"/>
      <c r="B129" s="53" t="str">
        <f>IFERROR(__xludf.DUMMYFUNCTION("""COMPUTED_VALUE"""),"Leg                    ")</f>
        <v>Leg                    </v>
      </c>
      <c r="C129" s="34" t="str">
        <f>IFERROR(__xludf.DUMMYFUNCTION("""COMPUTED_VALUE"""),"UBERON:0000978")</f>
        <v>UBERON:0000978</v>
      </c>
      <c r="D129" s="29" t="str">
        <f>IFERROR(__xludf.DUMMYFUNCTION("""COMPUTED_VALUE"""),"The portion of the hindlimb that contains both the stylopod and zeugopod.")</f>
        <v>The portion of the hindlimb that contains both the stylopod and zeugopod.</v>
      </c>
      <c r="H129" s="55" t="s">
        <v>19</v>
      </c>
      <c r="I129" s="55" t="s">
        <v>19</v>
      </c>
      <c r="J129" s="55" t="s">
        <v>19</v>
      </c>
      <c r="K129" s="55" t="str">
        <f t="shared" si="7"/>
        <v>Mpox</v>
      </c>
      <c r="M129" s="40"/>
    </row>
    <row r="130">
      <c r="A130" s="34"/>
      <c r="B130" s="53" t="str">
        <f>IFERROR(__xludf.DUMMYFUNCTION("""COMPUTED_VALUE"""),"     Ankle               ")</f>
        <v>     Ankle               </v>
      </c>
      <c r="C130" s="34" t="str">
        <f>IFERROR(__xludf.DUMMYFUNCTION("""COMPUTED_VALUE"""),"UBERON:0001512")</f>
        <v>UBERON:0001512</v>
      </c>
      <c r="D130" s="29" t="str">
        <f>IFERROR(__xludf.DUMMYFUNCTION("""COMPUTED_VALUE"""),"A zone of skin that is part of an ankle")</f>
        <v>A zone of skin that is part of an ankle</v>
      </c>
      <c r="H130" s="55" t="s">
        <v>19</v>
      </c>
      <c r="I130" s="55" t="s">
        <v>19</v>
      </c>
      <c r="J130" s="55" t="s">
        <v>19</v>
      </c>
      <c r="K130" s="55" t="str">
        <f t="shared" si="7"/>
        <v>Mpox</v>
      </c>
      <c r="M130" s="40"/>
    </row>
    <row r="131">
      <c r="A131" s="34"/>
      <c r="B131" s="53" t="str">
        <f>IFERROR(__xludf.DUMMYFUNCTION("""COMPUTED_VALUE"""),"     Knee               ")</f>
        <v>     Knee               </v>
      </c>
      <c r="C131" s="34" t="str">
        <f>IFERROR(__xludf.DUMMYFUNCTION("""COMPUTED_VALUE"""),"UBERON:0001465")</f>
        <v>UBERON:0001465</v>
      </c>
      <c r="D131" s="29" t="str">
        <f>IFERROR(__xludf.DUMMYFUNCTION("""COMPUTED_VALUE"""),"A segment of the hindlimb that corresponds to the joint connecting a hindlimb stylopod and zeugopod.")</f>
        <v>A segment of the hindlimb that corresponds to the joint connecting a hindlimb stylopod and zeugopod.</v>
      </c>
      <c r="H131" s="55" t="s">
        <v>19</v>
      </c>
      <c r="I131" s="55" t="s">
        <v>19</v>
      </c>
      <c r="J131" s="55" t="s">
        <v>19</v>
      </c>
      <c r="K131" s="55" t="str">
        <f t="shared" si="7"/>
        <v>Mpox</v>
      </c>
      <c r="M131" s="40"/>
    </row>
    <row r="132">
      <c r="A132" s="34"/>
      <c r="B132" s="53" t="str">
        <f>IFERROR(__xludf.DUMMYFUNCTION("""COMPUTED_VALUE"""),"     Thigh               ")</f>
        <v>     Thigh               </v>
      </c>
      <c r="C132" s="34" t="str">
        <f>IFERROR(__xludf.DUMMYFUNCTION("""COMPUTED_VALUE"""),"UBERON:0000376")</f>
        <v>UBERON:0000376</v>
      </c>
      <c r="D132" s="29" t="str">
        <f>IFERROR(__xludf.DUMMYFUNCTION("""COMPUTED_VALUE"""),"The part of the hindlimb between pelvis and the knee, corresponding to the femur.")</f>
        <v>The part of the hindlimb between pelvis and the knee, corresponding to the femur.</v>
      </c>
      <c r="H132" s="55" t="s">
        <v>19</v>
      </c>
      <c r="I132" s="55" t="s">
        <v>19</v>
      </c>
      <c r="J132" s="55" t="s">
        <v>19</v>
      </c>
      <c r="K132" s="55" t="str">
        <f t="shared" si="7"/>
        <v>Mpox</v>
      </c>
      <c r="M132" s="40"/>
    </row>
    <row r="133">
      <c r="A133" s="34"/>
      <c r="B133" s="53" t="str">
        <f>IFERROR(__xludf.DUMMYFUNCTION("""COMPUTED_VALUE"""),"Lower body                    ")</f>
        <v>Lower body                    </v>
      </c>
      <c r="C133" s="34" t="str">
        <f>IFERROR(__xludf.DUMMYFUNCTION("""COMPUTED_VALUE"""),"GENEPIO:0100492")</f>
        <v>GENEPIO:0100492</v>
      </c>
      <c r="D133" s="29" t="str">
        <f>IFERROR(__xludf.DUMMYFUNCTION("""COMPUTED_VALUE"""),"The part of the body that includes the leg, ankle, and foot.")</f>
        <v>The part of the body that includes the leg, ankle, and foot.</v>
      </c>
      <c r="H133" s="55" t="s">
        <v>19</v>
      </c>
      <c r="I133" s="55" t="s">
        <v>19</v>
      </c>
      <c r="J133" s="55" t="s">
        <v>19</v>
      </c>
      <c r="K133" s="55" t="str">
        <f t="shared" si="7"/>
        <v>Mpox</v>
      </c>
      <c r="M133" s="40"/>
    </row>
    <row r="134">
      <c r="A134" s="34"/>
      <c r="B134" s="53" t="str">
        <f>IFERROR(__xludf.DUMMYFUNCTION("""COMPUTED_VALUE"""),"Nasal Cavity                    ")</f>
        <v>Nasal Cavity                    </v>
      </c>
      <c r="C134" s="34" t="str">
        <f>IFERROR(__xludf.DUMMYFUNCTION("""COMPUTED_VALUE"""),"UBERON:0001707")</f>
        <v>UBERON:0001707</v>
      </c>
      <c r="D134"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H134" s="55" t="s">
        <v>19</v>
      </c>
      <c r="I134" s="55" t="s">
        <v>19</v>
      </c>
      <c r="J134" s="55" t="s">
        <v>19</v>
      </c>
      <c r="K134" s="55" t="str">
        <f t="shared" si="7"/>
        <v>Mpox</v>
      </c>
      <c r="M134" s="40"/>
    </row>
    <row r="135">
      <c r="A135" s="34"/>
      <c r="B135" s="53" t="str">
        <f>IFERROR(__xludf.DUMMYFUNCTION("""COMPUTED_VALUE"""),"     Anterior Nares               ")</f>
        <v>     Anterior Nares               </v>
      </c>
      <c r="C135" s="34" t="str">
        <f>IFERROR(__xludf.DUMMYFUNCTION("""COMPUTED_VALUE"""),"UBERON:2001427")</f>
        <v>UBERON:2001427</v>
      </c>
      <c r="D135" s="29" t="str">
        <f>IFERROR(__xludf.DUMMYFUNCTION("""COMPUTED_VALUE"""),"The external part of the nose containing the lower nostrils.")</f>
        <v>The external part of the nose containing the lower nostrils.</v>
      </c>
      <c r="H135" s="55" t="s">
        <v>19</v>
      </c>
      <c r="I135" s="55" t="s">
        <v>19</v>
      </c>
      <c r="J135" s="55" t="s">
        <v>19</v>
      </c>
      <c r="K135" s="55" t="str">
        <f t="shared" si="7"/>
        <v>Mpox</v>
      </c>
      <c r="M135" s="40"/>
    </row>
    <row r="136">
      <c r="A136" s="34"/>
      <c r="B136" s="53" t="str">
        <f>IFERROR(__xludf.DUMMYFUNCTION("""COMPUTED_VALUE"""),"     Inferior Nasal Turbinate               ")</f>
        <v>     Inferior Nasal Turbinate               </v>
      </c>
      <c r="C136" s="34" t="str">
        <f>IFERROR(__xludf.DUMMYFUNCTION("""COMPUTED_VALUE"""),"UBERON:0005921")</f>
        <v>UBERON:0005921</v>
      </c>
      <c r="D136"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H136" s="55" t="s">
        <v>19</v>
      </c>
      <c r="I136" s="55" t="s">
        <v>19</v>
      </c>
      <c r="J136" s="55" t="s">
        <v>19</v>
      </c>
      <c r="K136" s="55" t="str">
        <f t="shared" si="7"/>
        <v>Mpox</v>
      </c>
      <c r="M136" s="40"/>
    </row>
    <row r="137">
      <c r="A137" s="34"/>
      <c r="B137" s="53" t="str">
        <f>IFERROR(__xludf.DUMMYFUNCTION("""COMPUTED_VALUE"""),"     Middle Nasal Turbinate               ")</f>
        <v>     Middle Nasal Turbinate               </v>
      </c>
      <c r="C137" s="34" t="str">
        <f>IFERROR(__xludf.DUMMYFUNCTION("""COMPUTED_VALUE"""),"UBERON:0005922")</f>
        <v>UBERON:0005922</v>
      </c>
      <c r="D137" s="29" t="str">
        <f>IFERROR(__xludf.DUMMYFUNCTION("""COMPUTED_VALUE"""),"A turbinal located on the maxilla bone.")</f>
        <v>A turbinal located on the maxilla bone.</v>
      </c>
      <c r="H137" s="55" t="s">
        <v>19</v>
      </c>
      <c r="I137" s="55" t="s">
        <v>19</v>
      </c>
      <c r="J137" s="55" t="s">
        <v>19</v>
      </c>
      <c r="K137" s="55" t="str">
        <f t="shared" si="7"/>
        <v>Mpox</v>
      </c>
      <c r="M137" s="40"/>
    </row>
    <row r="138">
      <c r="A138" s="34"/>
      <c r="B138" s="53" t="str">
        <f>IFERROR(__xludf.DUMMYFUNCTION("""COMPUTED_VALUE"""),"Neck                    ")</f>
        <v>Neck                    </v>
      </c>
      <c r="C138" s="34" t="str">
        <f>IFERROR(__xludf.DUMMYFUNCTION("""COMPUTED_VALUE"""),"UBERON:0000974")</f>
        <v>UBERON:0000974</v>
      </c>
      <c r="D138"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H138" s="55" t="s">
        <v>19</v>
      </c>
      <c r="I138" s="55" t="s">
        <v>19</v>
      </c>
      <c r="J138" s="55" t="s">
        <v>19</v>
      </c>
      <c r="K138" s="55" t="str">
        <f t="shared" si="7"/>
        <v>Mpox</v>
      </c>
      <c r="M138" s="40"/>
    </row>
    <row r="139">
      <c r="A139" s="34"/>
      <c r="B139" s="53" t="str">
        <f>IFERROR(__xludf.DUMMYFUNCTION("""COMPUTED_VALUE"""),"     Pharynx (throat)               ")</f>
        <v>     Pharynx (throat)               </v>
      </c>
      <c r="C139" s="34" t="str">
        <f>IFERROR(__xludf.DUMMYFUNCTION("""COMPUTED_VALUE"""),"UBERON:0006562")</f>
        <v>UBERON:0006562</v>
      </c>
      <c r="D139" s="29" t="str">
        <f>IFERROR(__xludf.DUMMYFUNCTION("""COMPUTED_VALUE"""),"The pharynx is the part of the digestive system immediately posterior to the mouth.")</f>
        <v>The pharynx is the part of the digestive system immediately posterior to the mouth.</v>
      </c>
      <c r="H139" s="55" t="s">
        <v>19</v>
      </c>
      <c r="I139" s="55" t="s">
        <v>19</v>
      </c>
      <c r="J139" s="55" t="s">
        <v>19</v>
      </c>
      <c r="K139" s="55" t="str">
        <f t="shared" si="7"/>
        <v>Mpox</v>
      </c>
      <c r="M139" s="40"/>
    </row>
    <row r="140">
      <c r="A140" s="34"/>
      <c r="B140" s="53" t="str">
        <f>IFERROR(__xludf.DUMMYFUNCTION("""COMPUTED_VALUE"""),"          Nasopharynx (NP)          ")</f>
        <v>          Nasopharynx (NP)          </v>
      </c>
      <c r="C140" s="34" t="str">
        <f>IFERROR(__xludf.DUMMYFUNCTION("""COMPUTED_VALUE"""),"UBERON:0001728")</f>
        <v>UBERON:0001728</v>
      </c>
      <c r="D140" s="29" t="str">
        <f>IFERROR(__xludf.DUMMYFUNCTION("""COMPUTED_VALUE"""),"The section of the pharynx that lies above the soft palate.")</f>
        <v>The section of the pharynx that lies above the soft palate.</v>
      </c>
      <c r="H140" s="55" t="s">
        <v>19</v>
      </c>
      <c r="I140" s="55" t="s">
        <v>19</v>
      </c>
      <c r="J140" s="55" t="s">
        <v>19</v>
      </c>
      <c r="K140" s="55" t="str">
        <f t="shared" si="7"/>
        <v>Mpox</v>
      </c>
      <c r="M140" s="40"/>
    </row>
    <row r="141">
      <c r="A141" s="34"/>
      <c r="B141" s="53" t="str">
        <f>IFERROR(__xludf.DUMMYFUNCTION("""COMPUTED_VALUE"""),"          Oropharynx (OP)          ")</f>
        <v>          Oropharynx (OP)          </v>
      </c>
      <c r="C141" s="34" t="str">
        <f>IFERROR(__xludf.DUMMYFUNCTION("""COMPUTED_VALUE"""),"UBERON:0001729")</f>
        <v>UBERON:0001729</v>
      </c>
      <c r="D141" s="29" t="str">
        <f>IFERROR(__xludf.DUMMYFUNCTION("""COMPUTED_VALUE"""),"The portion of the pharynx that lies between the soft palate and the upper edge of the epiglottis.")</f>
        <v>The portion of the pharynx that lies between the soft palate and the upper edge of the epiglottis.</v>
      </c>
      <c r="H141" s="55" t="s">
        <v>19</v>
      </c>
      <c r="I141" s="55" t="s">
        <v>19</v>
      </c>
      <c r="J141" s="55" t="s">
        <v>19</v>
      </c>
      <c r="K141" s="55" t="str">
        <f t="shared" si="7"/>
        <v>Mpox</v>
      </c>
      <c r="M141" s="40"/>
    </row>
    <row r="142">
      <c r="A142" s="34"/>
      <c r="B142" s="53" t="str">
        <f>IFERROR(__xludf.DUMMYFUNCTION("""COMPUTED_VALUE"""),"     Trachea               ")</f>
        <v>     Trachea               </v>
      </c>
      <c r="C142" s="34" t="str">
        <f>IFERROR(__xludf.DUMMYFUNCTION("""COMPUTED_VALUE"""),"UBERON:0003126")</f>
        <v>UBERON:0003126</v>
      </c>
      <c r="D142" s="29" t="str">
        <f>IFERROR(__xludf.DUMMYFUNCTION("""COMPUTED_VALUE"""),"The trachea is the portion of the airway that attaches to the bronchi as it branches.")</f>
        <v>The trachea is the portion of the airway that attaches to the bronchi as it branches.</v>
      </c>
      <c r="H142" s="55" t="s">
        <v>19</v>
      </c>
      <c r="I142" s="55" t="s">
        <v>19</v>
      </c>
      <c r="J142" s="55" t="s">
        <v>19</v>
      </c>
      <c r="K142" s="55" t="str">
        <f t="shared" si="7"/>
        <v>Mpox</v>
      </c>
      <c r="M142" s="40"/>
    </row>
    <row r="143">
      <c r="A143" s="34"/>
      <c r="B143" s="53" t="str">
        <f>IFERROR(__xludf.DUMMYFUNCTION("""COMPUTED_VALUE"""),"Rectum                    ")</f>
        <v>Rectum                    </v>
      </c>
      <c r="C143" s="34" t="str">
        <f>IFERROR(__xludf.DUMMYFUNCTION("""COMPUTED_VALUE"""),"UBERON:0001052")</f>
        <v>UBERON:0001052</v>
      </c>
      <c r="D143" s="29" t="str">
        <f>IFERROR(__xludf.DUMMYFUNCTION("""COMPUTED_VALUE"""),"The terminal portion of the intestinal tube, terminating with the anus.")</f>
        <v>The terminal portion of the intestinal tube, terminating with the anus.</v>
      </c>
      <c r="H143" s="55" t="s">
        <v>19</v>
      </c>
      <c r="I143" s="55" t="s">
        <v>19</v>
      </c>
      <c r="J143" s="55" t="s">
        <v>19</v>
      </c>
      <c r="K143" s="55" t="str">
        <f t="shared" si="7"/>
        <v>Mpox</v>
      </c>
      <c r="M143" s="40"/>
    </row>
    <row r="144">
      <c r="A144" s="34"/>
      <c r="B144" s="53" t="str">
        <f>IFERROR(__xludf.DUMMYFUNCTION("""COMPUTED_VALUE"""),"Shoulder                    ")</f>
        <v>Shoulder                    </v>
      </c>
      <c r="C144" s="34" t="str">
        <f>IFERROR(__xludf.DUMMYFUNCTION("""COMPUTED_VALUE"""),"UBERON:0001467")</f>
        <v>UBERON:0001467</v>
      </c>
      <c r="D144"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H144" s="55" t="s">
        <v>19</v>
      </c>
      <c r="I144" s="55" t="s">
        <v>19</v>
      </c>
      <c r="J144" s="55" t="s">
        <v>19</v>
      </c>
      <c r="K144" s="55" t="str">
        <f t="shared" si="7"/>
        <v>Mpox</v>
      </c>
      <c r="M144" s="40"/>
    </row>
    <row r="145">
      <c r="A145" s="34"/>
      <c r="B145" s="53" t="str">
        <f>IFERROR(__xludf.DUMMYFUNCTION("""COMPUTED_VALUE"""),"Skin                    ")</f>
        <v>Skin                    </v>
      </c>
      <c r="C145" s="34" t="str">
        <f>IFERROR(__xludf.DUMMYFUNCTION("""COMPUTED_VALUE"""),"UBERON:0001003")</f>
        <v>UBERON:0001003</v>
      </c>
      <c r="D145" s="29" t="str">
        <f>IFERROR(__xludf.DUMMYFUNCTION("""COMPUTED_VALUE"""),"The outer epithelial layer of the skin that is superficial to the dermis.")</f>
        <v>The outer epithelial layer of the skin that is superficial to the dermis.</v>
      </c>
      <c r="H145" s="55" t="s">
        <v>19</v>
      </c>
      <c r="I145" s="55" t="s">
        <v>19</v>
      </c>
      <c r="J145" s="55" t="s">
        <v>19</v>
      </c>
      <c r="K145" s="55" t="str">
        <f t="shared" si="7"/>
        <v>Mpox</v>
      </c>
      <c r="M145" s="40"/>
    </row>
    <row r="146">
      <c r="A146" s="29"/>
      <c r="B146" s="53" t="str">
        <f>IFERROR(__xludf.DUMMYFUNCTION("""COMPUTED_VALUE"""),"                    ")</f>
        <v>                    </v>
      </c>
      <c r="C146" s="29"/>
      <c r="D146" s="29" t="str">
        <f>IFERROR(__xludf.DUMMYFUNCTION("""COMPUTED_VALUE"""),"")</f>
        <v/>
      </c>
      <c r="E146" s="29"/>
      <c r="F146" s="29"/>
      <c r="G146" s="29"/>
      <c r="H146" s="29"/>
      <c r="I146" s="29"/>
      <c r="J146" s="29"/>
      <c r="K146" s="55" t="str">
        <f t="shared" si="7"/>
        <v>Mpox</v>
      </c>
      <c r="M146" s="58"/>
    </row>
    <row r="147">
      <c r="A147" s="29"/>
      <c r="B147" s="53" t="str">
        <f>IFERROR(__xludf.DUMMYFUNCTION("""COMPUTED_VALUE"""),"                    ")</f>
        <v>                    </v>
      </c>
      <c r="C147" s="29"/>
      <c r="D147" s="29" t="str">
        <f>IFERROR(__xludf.DUMMYFUNCTION("""COMPUTED_VALUE"""),"")</f>
        <v/>
      </c>
      <c r="E147" s="29"/>
      <c r="F147" s="29"/>
      <c r="G147" s="29"/>
      <c r="H147" s="29"/>
      <c r="I147" s="29"/>
      <c r="J147" s="29"/>
      <c r="K147" s="55" t="str">
        <f t="shared" si="7"/>
        <v>Mpox</v>
      </c>
      <c r="M147" s="58"/>
    </row>
    <row r="148">
      <c r="A148" s="29"/>
      <c r="B148" s="53" t="str">
        <f>IFERROR(__xludf.DUMMYFUNCTION("""COMPUTED_VALUE"""),"                    ")</f>
        <v>                    </v>
      </c>
      <c r="C148" s="29"/>
      <c r="D148" s="29" t="str">
        <f>IFERROR(__xludf.DUMMYFUNCTION("""COMPUTED_VALUE"""),"")</f>
        <v/>
      </c>
      <c r="E148" s="29"/>
      <c r="F148" s="29"/>
      <c r="G148" s="29"/>
      <c r="H148" s="29"/>
      <c r="I148" s="29"/>
      <c r="J148" s="29"/>
      <c r="K148" s="55" t="str">
        <f t="shared" si="7"/>
        <v>Mpox</v>
      </c>
      <c r="M148" s="58"/>
    </row>
    <row r="149" hidden="1">
      <c r="A149" s="29" t="str">
        <f>IFERROR(__xludf.DUMMYFUNCTION("""COMPUTED_VALUE"""),"anatomical part international menu")</f>
        <v>anatomical part international menu</v>
      </c>
      <c r="B149" s="53" t="str">
        <f>IFERROR(__xludf.DUMMYFUNCTION("""COMPUTED_VALUE"""),"                    ")</f>
        <v>                    </v>
      </c>
      <c r="C149" s="29"/>
      <c r="D149" s="29" t="str">
        <f>IFERROR(__xludf.DUMMYFUNCTION("""COMPUTED_VALUE"""),"")</f>
        <v/>
      </c>
      <c r="E149" s="29"/>
      <c r="F149" s="29"/>
      <c r="G149" s="29"/>
      <c r="H149" s="29"/>
      <c r="I149" s="29"/>
      <c r="J149" s="29"/>
      <c r="K149" s="59" t="s">
        <v>27</v>
      </c>
      <c r="L149" s="34" t="str">
        <f>LEFT(A149, LEN(A149) - 5)
</f>
        <v>anatomical part international</v>
      </c>
      <c r="M149" s="34" t="str">
        <f>VLOOKUP(L149,'Field Reference Guide'!$B$6:$N$220,13,false)</f>
        <v>#N/A</v>
      </c>
    </row>
    <row r="150" hidden="1">
      <c r="A150" s="29"/>
      <c r="B150" s="53" t="str">
        <f>IFERROR(__xludf.DUMMYFUNCTION("""COMPUTED_VALUE"""),"Anus [UBERON:0001245]                    ")</f>
        <v>Anus [UBERON:0001245]                    </v>
      </c>
      <c r="C150" s="29" t="str">
        <f>IFERROR(__xludf.DUMMYFUNCTION("""COMPUTED_VALUE"""),"UBERON:0001245")</f>
        <v>UBERON:0001245</v>
      </c>
      <c r="D150" s="29" t="str">
        <f>IFERROR(__xludf.DUMMYFUNCTION("""COMPUTED_VALUE"""),"Orifice at the opposite end of an animal's digestive tract from the mouth. Its function is to expel feces, unwanted semi-solid matter produced during digestion, which, depending on the type of animal, may be one or more of: matter which the animal cannot "&amp;"digest, such as bones; food material after all the nutrients have been extracted, for example cellulose or lignin; ingested matter which would be toxic if it remained in the digestive tract; and dead or excess gut bacteria and other endosymbionts.")</f>
        <v>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v>
      </c>
      <c r="E150" s="29"/>
      <c r="F150" s="29"/>
      <c r="G150" s="29"/>
      <c r="H150" s="56" t="s">
        <v>19</v>
      </c>
      <c r="I150" s="56" t="s">
        <v>19</v>
      </c>
      <c r="J150" s="56" t="s">
        <v>19</v>
      </c>
      <c r="K150" s="55" t="str">
        <f t="shared" ref="K150:K201" si="8">K149</f>
        <v>International</v>
      </c>
      <c r="M150" s="57" t="s">
        <v>28</v>
      </c>
    </row>
    <row r="151" hidden="1">
      <c r="A151" s="29"/>
      <c r="B151" s="53" t="str">
        <f>IFERROR(__xludf.DUMMYFUNCTION("""COMPUTED_VALUE"""),"     Perianal skin [UBERON:0012336]               ")</f>
        <v>     Perianal skin [UBERON:0012336]               </v>
      </c>
      <c r="C151" s="29" t="str">
        <f>IFERROR(__xludf.DUMMYFUNCTION("""COMPUTED_VALUE"""),"UBERON:0012336")</f>
        <v>UBERON:0012336</v>
      </c>
      <c r="D151" s="29" t="str">
        <f>IFERROR(__xludf.DUMMYFUNCTION("""COMPUTED_VALUE"""),"A zone of skin that is part of the area surrounding the anus.")</f>
        <v>A zone of skin that is part of the area surrounding the anus.</v>
      </c>
      <c r="E151" s="29"/>
      <c r="F151" s="29"/>
      <c r="G151" s="29"/>
      <c r="H151" s="56" t="s">
        <v>19</v>
      </c>
      <c r="I151" s="56" t="s">
        <v>19</v>
      </c>
      <c r="J151" s="56" t="s">
        <v>19</v>
      </c>
      <c r="K151" s="55" t="str">
        <f t="shared" si="8"/>
        <v>International</v>
      </c>
      <c r="M151" s="40"/>
    </row>
    <row r="152" hidden="1">
      <c r="A152" s="29"/>
      <c r="B152" s="53" t="str">
        <f>IFERROR(__xludf.DUMMYFUNCTION("""COMPUTED_VALUE"""),"Arm [UBERON:0001460]                    ")</f>
        <v>Arm [UBERON:0001460]                    </v>
      </c>
      <c r="C152" s="29" t="str">
        <f>IFERROR(__xludf.DUMMYFUNCTION("""COMPUTED_VALUE"""),"UBERON:0001460")</f>
        <v>UBERON:0001460</v>
      </c>
      <c r="D152" s="29" t="str">
        <f>IFERROR(__xludf.DUMMYFUNCTION("""COMPUTED_VALUE"""),"The part of the forelimb extending from the shoulder to the autopod.")</f>
        <v>The part of the forelimb extending from the shoulder to the autopod.</v>
      </c>
      <c r="E152" s="29"/>
      <c r="F152" s="29"/>
      <c r="G152" s="29"/>
      <c r="H152" s="56" t="s">
        <v>19</v>
      </c>
      <c r="I152" s="56" t="s">
        <v>19</v>
      </c>
      <c r="J152" s="56" t="s">
        <v>19</v>
      </c>
      <c r="K152" s="55" t="str">
        <f t="shared" si="8"/>
        <v>International</v>
      </c>
      <c r="M152" s="40"/>
    </row>
    <row r="153" hidden="1">
      <c r="A153" s="29"/>
      <c r="B153" s="53" t="str">
        <f>IFERROR(__xludf.DUMMYFUNCTION("""COMPUTED_VALUE"""),"     Arm (forearm) [NCIT:C32628]               ")</f>
        <v>     Arm (forearm) [NCIT:C32628]               </v>
      </c>
      <c r="C153" s="29" t="str">
        <f>IFERROR(__xludf.DUMMYFUNCTION("""COMPUTED_VALUE"""),"NCIT:C32628")</f>
        <v>NCIT:C32628</v>
      </c>
      <c r="D153" s="29" t="str">
        <f>IFERROR(__xludf.DUMMYFUNCTION("""COMPUTED_VALUE"""),"The structure on the upper limb, between the elbow and the wrist.")</f>
        <v>The structure on the upper limb, between the elbow and the wrist.</v>
      </c>
      <c r="E153" s="29"/>
      <c r="F153" s="29"/>
      <c r="G153" s="29"/>
      <c r="H153" s="56" t="s">
        <v>19</v>
      </c>
      <c r="I153" s="56" t="s">
        <v>19</v>
      </c>
      <c r="J153" s="56" t="s">
        <v>19</v>
      </c>
      <c r="K153" s="55" t="str">
        <f t="shared" si="8"/>
        <v>International</v>
      </c>
      <c r="M153" s="40"/>
    </row>
    <row r="154" hidden="1">
      <c r="A154" s="29"/>
      <c r="B154" s="53" t="str">
        <f>IFERROR(__xludf.DUMMYFUNCTION("""COMPUTED_VALUE"""),"     Elbow [UBERON:0001461]               ")</f>
        <v>     Elbow [UBERON:0001461]               </v>
      </c>
      <c r="C154" s="29" t="str">
        <f>IFERROR(__xludf.DUMMYFUNCTION("""COMPUTED_VALUE"""),"UBERON:0001461")</f>
        <v>UBERON:0001461</v>
      </c>
      <c r="D154" s="29" t="str">
        <f>IFERROR(__xludf.DUMMYFUNCTION("""COMPUTED_VALUE"""),"The elbow is the region surrounding the elbow-joint-the ginglymus or hinge joint in the middle of the arm. Three bones form the elbow joint: the humerus of the upper arm, and the paired radius and ulna of the forearm. The bony prominence at the very tip o"&amp;"f the elbow is the olecranon process of the ulna, and the inner aspect of the elbow is called the antecubital fossa.")</f>
        <v>The elbow is the region surrounding the elbow-joint-the ginglymus or hinge joint in the middle of the arm. Three bones form the elbow joint: the humerus of the upper arm, and the paired radius and ulna of the forearm. The bony prominence at the very tip of the elbow is the olecranon process of the ulna, and the inner aspect of the elbow is called the antecubital fossa.</v>
      </c>
      <c r="E154" s="29"/>
      <c r="F154" s="29"/>
      <c r="G154" s="29"/>
      <c r="H154" s="56" t="s">
        <v>19</v>
      </c>
      <c r="I154" s="56" t="s">
        <v>19</v>
      </c>
      <c r="J154" s="56" t="s">
        <v>19</v>
      </c>
      <c r="K154" s="55" t="str">
        <f t="shared" si="8"/>
        <v>International</v>
      </c>
      <c r="M154" s="40"/>
    </row>
    <row r="155" hidden="1">
      <c r="A155" s="29"/>
      <c r="B155" s="53" t="str">
        <f>IFERROR(__xludf.DUMMYFUNCTION("""COMPUTED_VALUE"""),"Back [FMA:14181]                    ")</f>
        <v>Back [FMA:14181]                    </v>
      </c>
      <c r="C155" s="29" t="str">
        <f>IFERROR(__xludf.DUMMYFUNCTION("""COMPUTED_VALUE"""),"FMA:14181")</f>
        <v>FMA:14181</v>
      </c>
      <c r="D155" s="29" t="str">
        <f>IFERROR(__xludf.DUMMYFUNCTION("""COMPUTED_VALUE"""),"The rear surface of the human body from the shoulders to the hips.")</f>
        <v>The rear surface of the human body from the shoulders to the hips.</v>
      </c>
      <c r="E155" s="29"/>
      <c r="F155" s="29"/>
      <c r="G155" s="29"/>
      <c r="H155" s="56" t="s">
        <v>19</v>
      </c>
      <c r="I155" s="56" t="s">
        <v>19</v>
      </c>
      <c r="J155" s="56" t="s">
        <v>19</v>
      </c>
      <c r="K155" s="55" t="str">
        <f t="shared" si="8"/>
        <v>International</v>
      </c>
      <c r="M155" s="40"/>
    </row>
    <row r="156" hidden="1">
      <c r="A156" s="29"/>
      <c r="B156" s="53" t="str">
        <f>IFERROR(__xludf.DUMMYFUNCTION("""COMPUTED_VALUE"""),"Buttock [UBERON:0013691]                    ")</f>
        <v>Buttock [UBERON:0013691]                    </v>
      </c>
      <c r="C156" s="29" t="str">
        <f>IFERROR(__xludf.DUMMYFUNCTION("""COMPUTED_VALUE"""),"UBERON:0013691")</f>
        <v>UBERON:0013691</v>
      </c>
      <c r="D156" s="29" t="str">
        <f>IFERROR(__xludf.DUMMYFUNCTION("""COMPUTED_VALUE"""),"A zone of soft tissue located on the posterior of the lateral side of the pelvic region corresponding to the gluteal muscles.")</f>
        <v>A zone of soft tissue located on the posterior of the lateral side of the pelvic region corresponding to the gluteal muscles.</v>
      </c>
      <c r="E156" s="29"/>
      <c r="F156" s="29"/>
      <c r="G156" s="29"/>
      <c r="H156" s="56" t="s">
        <v>19</v>
      </c>
      <c r="I156" s="56" t="s">
        <v>19</v>
      </c>
      <c r="J156" s="56" t="s">
        <v>19</v>
      </c>
      <c r="K156" s="55" t="str">
        <f t="shared" si="8"/>
        <v>International</v>
      </c>
      <c r="M156" s="40"/>
    </row>
    <row r="157" hidden="1">
      <c r="A157" s="29"/>
      <c r="B157" s="53" t="str">
        <f>IFERROR(__xludf.DUMMYFUNCTION("""COMPUTED_VALUE"""),"Cervix [UBERON:0000002]                    ")</f>
        <v>Cervix [UBERON:0000002]                    </v>
      </c>
      <c r="C157" s="29" t="str">
        <f>IFERROR(__xludf.DUMMYFUNCTION("""COMPUTED_VALUE"""),"UBERON:0000002")</f>
        <v>UBERON:0000002</v>
      </c>
      <c r="D157" s="29" t="str">
        <f>IFERROR(__xludf.DUMMYFUNCTION("""COMPUTED_VALUE"""),"Lower, narrow portion of the uterus where it joins with the top end of the vagina.")</f>
        <v>Lower, narrow portion of the uterus where it joins with the top end of the vagina.</v>
      </c>
      <c r="E157" s="29"/>
      <c r="F157" s="29"/>
      <c r="G157" s="29"/>
      <c r="H157" s="56" t="s">
        <v>19</v>
      </c>
      <c r="I157" s="56" t="s">
        <v>19</v>
      </c>
      <c r="J157" s="56" t="s">
        <v>19</v>
      </c>
      <c r="K157" s="55" t="str">
        <f t="shared" si="8"/>
        <v>International</v>
      </c>
      <c r="M157" s="40"/>
    </row>
    <row r="158" hidden="1">
      <c r="A158" s="29"/>
      <c r="B158" s="53" t="str">
        <f>IFERROR(__xludf.DUMMYFUNCTION("""COMPUTED_VALUE"""),"Chest [UBERON:0001443]                    ")</f>
        <v>Chest [UBERON:0001443]                    </v>
      </c>
      <c r="C158" s="29" t="str">
        <f>IFERROR(__xludf.DUMMYFUNCTION("""COMPUTED_VALUE"""),"UBERON:0001443")</f>
        <v>UBERON:0001443</v>
      </c>
      <c r="D158" s="29" t="str">
        <f>IFERROR(__xludf.DUMMYFUNCTION("""COMPUTED_VALUE"""),"Subdivision of trunk proper, which is demarcated from the neck by the plane of the superior thoracic aperture and from the abdomen internally by the inferior surface of the diaphragm and externally by the costal margin and associated with the thoracic ver"&amp;"tebral column and ribcage and from the back of the thorax by the external surface of the posterolateral part of the rib cage, the anterior surface of the thoracic vertebral column and the posterior axillary lines; together with the abdomen and the perineu"&amp;"m, it constitutes the trunk proper")</f>
        <v>Subdivision of trunk proper, which is demarcated from the neck by the plane of the superior thoracic aperture and from the abdomen internally by the inferior surface of the diaphragm and externally by the costal margin and associated with the thoracic vertebral column and ribcage and from the back of the thorax by the external surface of the posterolateral part of the rib cage, the anterior surface of the thoracic vertebral column and the posterior axillary lines; together with the abdomen and the perineum, it constitutes the trunk proper</v>
      </c>
      <c r="E158" s="29"/>
      <c r="F158" s="29"/>
      <c r="G158" s="29"/>
      <c r="H158" s="56" t="s">
        <v>19</v>
      </c>
      <c r="I158" s="56" t="s">
        <v>19</v>
      </c>
      <c r="J158" s="56" t="s">
        <v>19</v>
      </c>
      <c r="K158" s="55" t="str">
        <f t="shared" si="8"/>
        <v>International</v>
      </c>
      <c r="M158" s="40"/>
    </row>
    <row r="159" hidden="1">
      <c r="A159" s="29"/>
      <c r="B159" s="53" t="str">
        <f>IFERROR(__xludf.DUMMYFUNCTION("""COMPUTED_VALUE"""),"Foot [BTO:0000476]                    ")</f>
        <v>Foot [BTO:0000476]                    </v>
      </c>
      <c r="C159" s="29" t="str">
        <f>IFERROR(__xludf.DUMMYFUNCTION("""COMPUTED_VALUE"""),"BTO:0000476")</f>
        <v>BTO:0000476</v>
      </c>
      <c r="D159" s="29" t="str">
        <f>IFERROR(__xludf.DUMMYFUNCTION("""COMPUTED_VALUE"""),"The terminal part of the vertebrate leg upon which an individual stands.")</f>
        <v>The terminal part of the vertebrate leg upon which an individual stands.</v>
      </c>
      <c r="E159" s="29"/>
      <c r="F159" s="29"/>
      <c r="G159" s="29"/>
      <c r="H159" s="56" t="s">
        <v>19</v>
      </c>
      <c r="I159" s="56" t="s">
        <v>19</v>
      </c>
      <c r="J159" s="56" t="s">
        <v>19</v>
      </c>
      <c r="K159" s="55" t="str">
        <f t="shared" si="8"/>
        <v>International</v>
      </c>
      <c r="M159" s="40"/>
    </row>
    <row r="160" hidden="1">
      <c r="A160" s="29"/>
      <c r="B160" s="53" t="str">
        <f>IFERROR(__xludf.DUMMYFUNCTION("""COMPUTED_VALUE"""),"Genital area [BTO:0003358]                    ")</f>
        <v>Genital area [BTO:0003358]                    </v>
      </c>
      <c r="C160" s="29" t="str">
        <f>IFERROR(__xludf.DUMMYFUNCTION("""COMPUTED_VALUE"""),"BTO:0003358")</f>
        <v>BTO:0003358</v>
      </c>
      <c r="D160" s="29" t="str">
        <f>IFERROR(__xludf.DUMMYFUNCTION("""COMPUTED_VALUE"""),"The area where the upper thigh meets the trunk. More precisely, the fold or depression marking the juncture of the lower abdomen and the inner part of the thigh.")</f>
        <v>The area where the upper thigh meets the trunk. More precisely, the fold or depression marking the juncture of the lower abdomen and the inner part of the thigh.</v>
      </c>
      <c r="E160" s="29"/>
      <c r="F160" s="29"/>
      <c r="G160" s="29"/>
      <c r="H160" s="56" t="s">
        <v>19</v>
      </c>
      <c r="I160" s="56" t="s">
        <v>19</v>
      </c>
      <c r="J160" s="56" t="s">
        <v>19</v>
      </c>
      <c r="K160" s="55" t="str">
        <f t="shared" si="8"/>
        <v>International</v>
      </c>
      <c r="M160" s="40"/>
    </row>
    <row r="161" hidden="1">
      <c r="A161" s="29"/>
      <c r="B161" s="53" t="str">
        <f>IFERROR(__xludf.DUMMYFUNCTION("""COMPUTED_VALUE"""),"     Penis [UBERON:0000989]               ")</f>
        <v>     Penis [UBERON:0000989]               </v>
      </c>
      <c r="C161" s="29" t="str">
        <f>IFERROR(__xludf.DUMMYFUNCTION("""COMPUTED_VALUE"""),"UBERON:0000989")</f>
        <v>UBERON:0000989</v>
      </c>
      <c r="D161" s="29" t="str">
        <f>IFERROR(__xludf.DUMMYFUNCTION("""COMPUTED_VALUE"""),"An intromittent organ in certain biologically male organisms. In placental mammals, this also serves as the organ of urination.")</f>
        <v>An intromittent organ in certain biologically male organisms. In placental mammals, this also serves as the organ of urination.</v>
      </c>
      <c r="E161" s="29"/>
      <c r="F161" s="29"/>
      <c r="G161" s="29"/>
      <c r="H161" s="56" t="s">
        <v>19</v>
      </c>
      <c r="I161" s="56" t="s">
        <v>19</v>
      </c>
      <c r="J161" s="56" t="s">
        <v>19</v>
      </c>
      <c r="K161" s="55" t="str">
        <f t="shared" si="8"/>
        <v>International</v>
      </c>
      <c r="M161" s="40"/>
    </row>
    <row r="162" hidden="1">
      <c r="A162" s="29"/>
      <c r="B162" s="53" t="str">
        <f>IFERROR(__xludf.DUMMYFUNCTION("""COMPUTED_VALUE"""),"          Glans (tip of penis) [UBERON:0035651]          ")</f>
        <v>          Glans (tip of penis) [UBERON:0035651]          </v>
      </c>
      <c r="C162" s="29" t="str">
        <f>IFERROR(__xludf.DUMMYFUNCTION("""COMPUTED_VALUE"""),"UBERON:0035651")</f>
        <v>UBERON:0035651</v>
      </c>
      <c r="D162" s="29" t="str">
        <f>IFERROR(__xludf.DUMMYFUNCTION("""COMPUTED_VALUE"""),"The bulbous structure at the distal end of the human penis")</f>
        <v>The bulbous structure at the distal end of the human penis</v>
      </c>
      <c r="E162" s="29"/>
      <c r="F162" s="29"/>
      <c r="G162" s="29"/>
      <c r="H162" s="56" t="s">
        <v>19</v>
      </c>
      <c r="I162" s="56" t="s">
        <v>19</v>
      </c>
      <c r="J162" s="56" t="s">
        <v>19</v>
      </c>
      <c r="K162" s="55" t="str">
        <f t="shared" si="8"/>
        <v>International</v>
      </c>
      <c r="M162" s="40"/>
    </row>
    <row r="163" hidden="1">
      <c r="A163" s="29"/>
      <c r="B163" s="53" t="str">
        <f>IFERROR(__xludf.DUMMYFUNCTION("""COMPUTED_VALUE"""),"          Prepuce of penis (foreskin)          ")</f>
        <v>          Prepuce of penis (foreskin)          </v>
      </c>
      <c r="C163" s="29" t="str">
        <f>IFERROR(__xludf.DUMMYFUNCTION("""COMPUTED_VALUE"""),"UBERON:0001332")</f>
        <v>UBERON:0001332</v>
      </c>
      <c r="D163" s="29" t="str">
        <f>IFERROR(__xludf.DUMMYFUNCTION("""COMPUTED_VALUE"""),"A retractable double-layered fold of skin and mucous membrane that covers the glans penis and protects the urinary meatus when the penis is not erect.")</f>
        <v>A retractable double-layered fold of skin and mucous membrane that covers the glans penis and protects the urinary meatus when the penis is not erect.</v>
      </c>
      <c r="E163" s="29"/>
      <c r="F163" s="29"/>
      <c r="G163" s="29"/>
      <c r="H163" s="56" t="s">
        <v>19</v>
      </c>
      <c r="I163" s="56" t="s">
        <v>19</v>
      </c>
      <c r="J163" s="56" t="s">
        <v>19</v>
      </c>
      <c r="K163" s="55" t="str">
        <f t="shared" si="8"/>
        <v>International</v>
      </c>
      <c r="M163" s="40"/>
    </row>
    <row r="164" hidden="1">
      <c r="A164" s="29"/>
      <c r="B164" s="53" t="str">
        <f>IFERROR(__xludf.DUMMYFUNCTION("""COMPUTED_VALUE"""),"     Perineum [UBERON:0002356]               ")</f>
        <v>     Perineum [UBERON:0002356]               </v>
      </c>
      <c r="C164" s="29" t="str">
        <f>IFERROR(__xludf.DUMMYFUNCTION("""COMPUTED_VALUE"""),"UBERON:0002356")</f>
        <v>UBERON:0002356</v>
      </c>
      <c r="D164" s="29" t="str">
        <f>IFERROR(__xludf.DUMMYFUNCTION("""COMPUTED_VALUE"""),"The space between the anus and scrotum in the male human, or between the anus and the vulva in the female human.")</f>
        <v>The space between the anus and scrotum in the male human, or between the anus and the vulva in the female human.</v>
      </c>
      <c r="E164" s="29"/>
      <c r="F164" s="29"/>
      <c r="G164" s="29"/>
      <c r="H164" s="56" t="s">
        <v>19</v>
      </c>
      <c r="I164" s="56" t="s">
        <v>19</v>
      </c>
      <c r="J164" s="56" t="s">
        <v>19</v>
      </c>
      <c r="K164" s="55" t="str">
        <f t="shared" si="8"/>
        <v>International</v>
      </c>
      <c r="M164" s="40"/>
    </row>
    <row r="165" hidden="1">
      <c r="A165" s="29"/>
      <c r="B165" s="53" t="str">
        <f>IFERROR(__xludf.DUMMYFUNCTION("""COMPUTED_VALUE"""),"     Scrotum [UBERON:0001300]               ")</f>
        <v>     Scrotum [UBERON:0001300]               </v>
      </c>
      <c r="C165" s="29" t="str">
        <f>IFERROR(__xludf.DUMMYFUNCTION("""COMPUTED_VALUE"""),"UBERON:0001300")</f>
        <v>UBERON:0001300</v>
      </c>
      <c r="D165" s="29" t="str">
        <f>IFERROR(__xludf.DUMMYFUNCTION("""COMPUTED_VALUE"""),"The external sac of skin that encloses the testes. It is an extension of the abdomen, and in placentals is located between the penis and anus.")</f>
        <v>The external sac of skin that encloses the testes. It is an extension of the abdomen, and in placentals is located between the penis and anus.</v>
      </c>
      <c r="E165" s="29"/>
      <c r="F165" s="29"/>
      <c r="G165" s="29"/>
      <c r="H165" s="56" t="s">
        <v>19</v>
      </c>
      <c r="I165" s="56" t="s">
        <v>19</v>
      </c>
      <c r="J165" s="56" t="s">
        <v>19</v>
      </c>
      <c r="K165" s="55" t="str">
        <f t="shared" si="8"/>
        <v>International</v>
      </c>
      <c r="M165" s="40"/>
    </row>
    <row r="166" hidden="1">
      <c r="A166" s="29"/>
      <c r="B166" s="53" t="str">
        <f>IFERROR(__xludf.DUMMYFUNCTION("""COMPUTED_VALUE"""),"     Vagina [UBERON:0000996]               ")</f>
        <v>     Vagina [UBERON:0000996]               </v>
      </c>
      <c r="C166" s="29" t="str">
        <f>IFERROR(__xludf.DUMMYFUNCTION("""COMPUTED_VALUE"""),"UBERON:0000996")</f>
        <v>UBERON:0000996</v>
      </c>
      <c r="D166" s="29" t="str">
        <f>IFERROR(__xludf.DUMMYFUNCTION("""COMPUTED_VALUE"""),"A fibromuscular tubular tract leading from the uterus to the exterior of the body in female placental mammals and marsupials, or to the cloaca in female birds, monotremes, and some reptiles")</f>
        <v>A fibromuscular tubular tract leading from the uterus to the exterior of the body in female placental mammals and marsupials, or to the cloaca in female birds, monotremes, and some reptiles</v>
      </c>
      <c r="E166" s="29"/>
      <c r="F166" s="29"/>
      <c r="G166" s="29"/>
      <c r="H166" s="56" t="s">
        <v>19</v>
      </c>
      <c r="I166" s="56" t="s">
        <v>19</v>
      </c>
      <c r="J166" s="56" t="s">
        <v>19</v>
      </c>
      <c r="K166" s="55" t="str">
        <f t="shared" si="8"/>
        <v>International</v>
      </c>
      <c r="M166" s="40"/>
    </row>
    <row r="167" hidden="1">
      <c r="A167" s="29"/>
      <c r="B167" s="53" t="str">
        <f>IFERROR(__xludf.DUMMYFUNCTION("""COMPUTED_VALUE"""),"Gland [UBERON:0002530]                    ")</f>
        <v>Gland [UBERON:0002530]                    </v>
      </c>
      <c r="C167" s="29" t="str">
        <f>IFERROR(__xludf.DUMMYFUNCTION("""COMPUTED_VALUE"""),"UBERON:0002530")</f>
        <v>UBERON:0002530</v>
      </c>
      <c r="D167" s="29" t="str">
        <f>IFERROR(__xludf.DUMMYFUNCTION("""COMPUTED_VALUE"""),"An organ that functions as a secretory or excretory organ.")</f>
        <v>An organ that functions as a secretory or excretory organ.</v>
      </c>
      <c r="E167" s="29"/>
      <c r="F167" s="29"/>
      <c r="G167" s="29"/>
      <c r="H167" s="56" t="s">
        <v>19</v>
      </c>
      <c r="I167" s="56" t="s">
        <v>19</v>
      </c>
      <c r="J167" s="56" t="s">
        <v>19</v>
      </c>
      <c r="K167" s="55" t="str">
        <f t="shared" si="8"/>
        <v>International</v>
      </c>
      <c r="M167" s="40"/>
    </row>
    <row r="168" hidden="1">
      <c r="A168" s="29"/>
      <c r="B168" s="53" t="str">
        <f>IFERROR(__xludf.DUMMYFUNCTION("""COMPUTED_VALUE"""),"Hand [BTO:0004668]                    ")</f>
        <v>Hand [BTO:0004668]                    </v>
      </c>
      <c r="C168" s="29" t="str">
        <f>IFERROR(__xludf.DUMMYFUNCTION("""COMPUTED_VALUE"""),"BTO:0004668")</f>
        <v>BTO:0004668</v>
      </c>
      <c r="D168" s="29" t="str">
        <f>IFERROR(__xludf.DUMMYFUNCTION("""COMPUTED_VALUE"""),"The terminal part of the vertebrate forelimb when modified, as in humans, as a grasping organ.")</f>
        <v>The terminal part of the vertebrate forelimb when modified, as in humans, as a grasping organ.</v>
      </c>
      <c r="E168" s="29"/>
      <c r="F168" s="29"/>
      <c r="G168" s="29"/>
      <c r="H168" s="56" t="s">
        <v>19</v>
      </c>
      <c r="I168" s="56" t="s">
        <v>19</v>
      </c>
      <c r="J168" s="56" t="s">
        <v>19</v>
      </c>
      <c r="K168" s="55" t="str">
        <f t="shared" si="8"/>
        <v>International</v>
      </c>
      <c r="M168" s="40"/>
    </row>
    <row r="169" hidden="1">
      <c r="A169" s="29"/>
      <c r="B169" s="53" t="str">
        <f>IFERROR(__xludf.DUMMYFUNCTION("""COMPUTED_VALUE"""),"     Finger [FMA:9666]               ")</f>
        <v>     Finger [FMA:9666]               </v>
      </c>
      <c r="C169" s="29" t="str">
        <f>IFERROR(__xludf.DUMMYFUNCTION("""COMPUTED_VALUE"""),"FMA:9666")</f>
        <v>FMA:9666</v>
      </c>
      <c r="D169" s="29" t="str">
        <f>IFERROR(__xludf.DUMMYFUNCTION("""COMPUTED_VALUE"""),"Subdivision of the hand demarcated from the hand proper by the skin crease in line with the distal edge of finger webs. Examples: thumb, right middle finger, left little finger.")</f>
        <v>Subdivision of the hand demarcated from the hand proper by the skin crease in line with the distal edge of finger webs. Examples: thumb, right middle finger, left little finger.</v>
      </c>
      <c r="E169" s="29"/>
      <c r="F169" s="29"/>
      <c r="G169" s="29"/>
      <c r="H169" s="56" t="s">
        <v>19</v>
      </c>
      <c r="I169" s="56" t="s">
        <v>19</v>
      </c>
      <c r="J169" s="56" t="s">
        <v>19</v>
      </c>
      <c r="K169" s="55" t="str">
        <f t="shared" si="8"/>
        <v>International</v>
      </c>
      <c r="M169" s="40"/>
    </row>
    <row r="170" hidden="1">
      <c r="A170" s="29"/>
      <c r="B170" s="53" t="str">
        <f>IFERROR(__xludf.DUMMYFUNCTION("""COMPUTED_VALUE"""),"     Hand (palm) [FMA:24920]               ")</f>
        <v>     Hand (palm) [FMA:24920]               </v>
      </c>
      <c r="C170" s="29" t="str">
        <f>IFERROR(__xludf.DUMMYFUNCTION("""COMPUTED_VALUE"""),"FMA:24920")</f>
        <v>FMA:24920</v>
      </c>
      <c r="D170" s="29" t="str">
        <f>IFERROR(__xludf.DUMMYFUNCTION("""COMPUTED_VALUE"""),"The inner surface of the hand between the wrist and fingers.")</f>
        <v>The inner surface of the hand between the wrist and fingers.</v>
      </c>
      <c r="E170" s="29"/>
      <c r="F170" s="29"/>
      <c r="G170" s="29"/>
      <c r="H170" s="56" t="s">
        <v>19</v>
      </c>
      <c r="I170" s="56" t="s">
        <v>19</v>
      </c>
      <c r="J170" s="56" t="s">
        <v>19</v>
      </c>
      <c r="K170" s="55" t="str">
        <f t="shared" si="8"/>
        <v>International</v>
      </c>
      <c r="M170" s="40"/>
    </row>
    <row r="171" hidden="1">
      <c r="A171" s="29"/>
      <c r="B171" s="53" t="str">
        <f>IFERROR(__xludf.DUMMYFUNCTION("""COMPUTED_VALUE"""),"Head [UBERON:0000033]                    ")</f>
        <v>Head [UBERON:0000033]                    </v>
      </c>
      <c r="C171" s="29" t="str">
        <f>IFERROR(__xludf.DUMMYFUNCTION("""COMPUTED_VALUE"""),"UBERON:0000033")</f>
        <v>UBERON:0000033</v>
      </c>
      <c r="D171" s="29" t="str">
        <f>IFERROR(__xludf.DUMMYFUNCTION("""COMPUTED_VALUE"""),"The head is the anterior-most division of the body.")</f>
        <v>The head is the anterior-most division of the body.</v>
      </c>
      <c r="E171" s="29"/>
      <c r="F171" s="29"/>
      <c r="G171" s="29"/>
      <c r="H171" s="56" t="s">
        <v>19</v>
      </c>
      <c r="I171" s="56" t="s">
        <v>19</v>
      </c>
      <c r="J171" s="56" t="s">
        <v>19</v>
      </c>
      <c r="K171" s="55" t="str">
        <f t="shared" si="8"/>
        <v>International</v>
      </c>
      <c r="M171" s="40"/>
    </row>
    <row r="172" hidden="1">
      <c r="A172" s="29"/>
      <c r="B172" s="53" t="str">
        <f>IFERROR(__xludf.DUMMYFUNCTION("""COMPUTED_VALUE"""),"     Buccal mucosa [UBERON:0006956]               ")</f>
        <v>     Buccal mucosa [UBERON:0006956]               </v>
      </c>
      <c r="C172" s="29" t="str">
        <f>IFERROR(__xludf.DUMMYFUNCTION("""COMPUTED_VALUE"""),"UBERON:0006956")</f>
        <v>UBERON:0006956</v>
      </c>
      <c r="D172" s="29" t="str">
        <f>IFERROR(__xludf.DUMMYFUNCTION("""COMPUTED_VALUE"""),"The inner lining of the cheeks and lips.")</f>
        <v>The inner lining of the cheeks and lips.</v>
      </c>
      <c r="E172" s="29"/>
      <c r="F172" s="29"/>
      <c r="G172" s="29"/>
      <c r="H172" s="56" t="s">
        <v>19</v>
      </c>
      <c r="I172" s="56" t="s">
        <v>19</v>
      </c>
      <c r="J172" s="56" t="s">
        <v>19</v>
      </c>
      <c r="K172" s="55" t="str">
        <f t="shared" si="8"/>
        <v>International</v>
      </c>
      <c r="M172" s="40"/>
    </row>
    <row r="173" hidden="1">
      <c r="A173" s="29"/>
      <c r="B173" s="53" t="str">
        <f>IFERROR(__xludf.DUMMYFUNCTION("""COMPUTED_VALUE"""),"     Cheek [UBERON:0001567]               ")</f>
        <v>     Cheek [UBERON:0001567]               </v>
      </c>
      <c r="C173" s="29" t="str">
        <f>IFERROR(__xludf.DUMMYFUNCTION("""COMPUTED_VALUE"""),"UBERON:0001567")</f>
        <v>UBERON:0001567</v>
      </c>
      <c r="D173" s="29" t="str">
        <f>IFERROR(__xludf.DUMMYFUNCTION("""COMPUTED_VALUE"""),"A fleshy subdivision of one side of the face bounded by an eye, ear and the nose.")</f>
        <v>A fleshy subdivision of one side of the face bounded by an eye, ear and the nose.</v>
      </c>
      <c r="E173" s="29"/>
      <c r="F173" s="29"/>
      <c r="G173" s="29"/>
      <c r="H173" s="56" t="s">
        <v>19</v>
      </c>
      <c r="I173" s="56" t="s">
        <v>19</v>
      </c>
      <c r="J173" s="56" t="s">
        <v>19</v>
      </c>
      <c r="K173" s="55" t="str">
        <f t="shared" si="8"/>
        <v>International</v>
      </c>
      <c r="M173" s="40"/>
    </row>
    <row r="174" hidden="1">
      <c r="A174" s="29"/>
      <c r="B174" s="53" t="str">
        <f>IFERROR(__xludf.DUMMYFUNCTION("""COMPUTED_VALUE"""),"     Ear [UBERON:0001690]               ")</f>
        <v>     Ear [UBERON:0001690]               </v>
      </c>
      <c r="C174" s="29" t="str">
        <f>IFERROR(__xludf.DUMMYFUNCTION("""COMPUTED_VALUE"""),"UBERON:0001690")</f>
        <v>UBERON:0001690</v>
      </c>
      <c r="D174" s="29" t="str">
        <f>IFERROR(__xludf.DUMMYFUNCTION("""COMPUTED_VALUE"""),"Sense organ in vertebrates that is specialized for the detection of sound, and the maintenance of balance. Includes the outer ear and middle ear, which collect and transmit sound waves; and the inner ear, which contains the organs of balance and (except i"&amp;"n fish) hearing. Also includes the pinna, the visible part of the outer ear, present in some mammals.")</f>
        <v>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v>
      </c>
      <c r="E174" s="29"/>
      <c r="F174" s="29"/>
      <c r="G174" s="29"/>
      <c r="H174" s="56" t="s">
        <v>19</v>
      </c>
      <c r="I174" s="56" t="s">
        <v>19</v>
      </c>
      <c r="J174" s="56" t="s">
        <v>19</v>
      </c>
      <c r="K174" s="55" t="str">
        <f t="shared" si="8"/>
        <v>International</v>
      </c>
      <c r="M174" s="40"/>
    </row>
    <row r="175" hidden="1">
      <c r="A175" s="29"/>
      <c r="B175" s="53" t="str">
        <f>IFERROR(__xludf.DUMMYFUNCTION("""COMPUTED_VALUE"""),"          Preauricular region [NCIT:C103848]          ")</f>
        <v>          Preauricular region [NCIT:C103848]          </v>
      </c>
      <c r="C175" s="29" t="str">
        <f>IFERROR(__xludf.DUMMYFUNCTION("""COMPUTED_VALUE"""),"NCIT:C103848")</f>
        <v>NCIT:C103848</v>
      </c>
      <c r="D175" s="29" t="str">
        <f>IFERROR(__xludf.DUMMYFUNCTION("""COMPUTED_VALUE"""),"Of or pertaining to the area in front of the auricle of the ear.")</f>
        <v>Of or pertaining to the area in front of the auricle of the ear.</v>
      </c>
      <c r="E175" s="29"/>
      <c r="F175" s="29"/>
      <c r="G175" s="29"/>
      <c r="H175" s="56" t="s">
        <v>19</v>
      </c>
      <c r="I175" s="56" t="s">
        <v>19</v>
      </c>
      <c r="J175" s="56" t="s">
        <v>19</v>
      </c>
      <c r="K175" s="55" t="str">
        <f t="shared" si="8"/>
        <v>International</v>
      </c>
      <c r="M175" s="40"/>
    </row>
    <row r="176" hidden="1">
      <c r="A176" s="29"/>
      <c r="B176" s="53" t="str">
        <f>IFERROR(__xludf.DUMMYFUNCTION("""COMPUTED_VALUE"""),"     Eye [UBERON:0000970]               ")</f>
        <v>     Eye [UBERON:0000970]               </v>
      </c>
      <c r="C176" s="29" t="str">
        <f>IFERROR(__xludf.DUMMYFUNCTION("""COMPUTED_VALUE"""),"UBERON:0000970")</f>
        <v>UBERON:0000970</v>
      </c>
      <c r="D176" s="29" t="str">
        <f>IFERROR(__xludf.DUMMYFUNCTION("""COMPUTED_VALUE"""),"An organ that detects light.")</f>
        <v>An organ that detects light.</v>
      </c>
      <c r="E176" s="29"/>
      <c r="F176" s="29"/>
      <c r="G176" s="29"/>
      <c r="H176" s="56" t="s">
        <v>19</v>
      </c>
      <c r="I176" s="56" t="s">
        <v>19</v>
      </c>
      <c r="J176" s="56" t="s">
        <v>19</v>
      </c>
      <c r="K176" s="55" t="str">
        <f t="shared" si="8"/>
        <v>International</v>
      </c>
      <c r="M176" s="40"/>
    </row>
    <row r="177" hidden="1">
      <c r="A177" s="29"/>
      <c r="B177" s="53" t="str">
        <f>IFERROR(__xludf.DUMMYFUNCTION("""COMPUTED_VALUE"""),"     Face [UBERON:0001456]               ")</f>
        <v>     Face [UBERON:0001456]               </v>
      </c>
      <c r="C177" s="29" t="str">
        <f>IFERROR(__xludf.DUMMYFUNCTION("""COMPUTED_VALUE"""),"UBERON:0001456")</f>
        <v>UBERON:0001456</v>
      </c>
      <c r="D177" s="29" t="str">
        <f>IFERROR(__xludf.DUMMYFUNCTION("""COMPUTED_VALUE"""),"A subdivision of the head that has as parts the layers deep to the surface of the anterior surface, including the mouth, eyes, and nose (when present). In vertebrates, this includes the facial skeleton and structures superficial to the facial skeleton (ch"&amp;"eeks, mouth, eyeballs, skin of face, etc).")</f>
        <v>A subdivision of the head that has as parts the layers deep to the surface of the anterior surface, including the mouth, eyes, and nose (when present). In vertebrates, this includes the facial skeleton and structures superficial to the facial skeleton (cheeks, mouth, eyeballs, skin of face, etc).</v>
      </c>
      <c r="E177" s="29"/>
      <c r="F177" s="29"/>
      <c r="G177" s="29"/>
      <c r="H177" s="56" t="s">
        <v>19</v>
      </c>
      <c r="I177" s="56" t="s">
        <v>19</v>
      </c>
      <c r="J177" s="56" t="s">
        <v>19</v>
      </c>
      <c r="K177" s="55" t="str">
        <f t="shared" si="8"/>
        <v>International</v>
      </c>
      <c r="M177" s="40"/>
    </row>
    <row r="178" hidden="1">
      <c r="A178" s="29"/>
      <c r="B178" s="53" t="str">
        <f>IFERROR(__xludf.DUMMYFUNCTION("""COMPUTED_VALUE"""),"     Forehead [UBERON:0008200]               ")</f>
        <v>     Forehead [UBERON:0008200]               </v>
      </c>
      <c r="C178" s="29" t="str">
        <f>IFERROR(__xludf.DUMMYFUNCTION("""COMPUTED_VALUE"""),"UBERON:0008200")</f>
        <v>UBERON:0008200</v>
      </c>
      <c r="D178" s="29" t="str">
        <f>IFERROR(__xludf.DUMMYFUNCTION("""COMPUTED_VALUE"""),"The part of the face above the eyes. In human anatomy, the forehead is the fore part of the head. It is, formally, an area of the head bounded by three features, two of the skull and one of the scalp. The top of the forehead is marked by the hairline, the"&amp;" edge of the area where hair on the scalp grows. The bottom of the forehead is marked by the supraorbital ridge, the bone feature of the skull above the eyes. The two sides of the forehead are marked by the temporal ridge, a bone feature that links the su"&amp;"praorbital ridge to the coronal suture line and beyond")</f>
        <v>The part of the face above the eyes. In human anatomy, the forehead is the fore part of the head. It is, formally, an area of the head bounded by three features, two of the skull and one of the scalp. The top of the forehead is marked by the hairline, the edge of the area where hair on the scalp grows. The bottom of the forehead is marked by the supraorbital ridge, the bone feature of the skull above the eyes. The two sides of the forehead are marked by the temporal ridge, a bone feature that links the supraorbital ridge to the coronal suture line and beyond</v>
      </c>
      <c r="E178" s="29"/>
      <c r="F178" s="29"/>
      <c r="G178" s="29"/>
      <c r="H178" s="56" t="s">
        <v>19</v>
      </c>
      <c r="I178" s="56" t="s">
        <v>19</v>
      </c>
      <c r="J178" s="56" t="s">
        <v>19</v>
      </c>
      <c r="K178" s="55" t="str">
        <f t="shared" si="8"/>
        <v>International</v>
      </c>
      <c r="M178" s="40"/>
    </row>
    <row r="179" hidden="1">
      <c r="A179" s="29"/>
      <c r="B179" s="53" t="str">
        <f>IFERROR(__xludf.DUMMYFUNCTION("""COMPUTED_VALUE"""),"     Lip [UBERON:0001833]               ")</f>
        <v>     Lip [UBERON:0001833]               </v>
      </c>
      <c r="C179" s="29" t="str">
        <f>IFERROR(__xludf.DUMMYFUNCTION("""COMPUTED_VALUE"""),"UBERON:0001833")</f>
        <v>UBERON:0001833</v>
      </c>
      <c r="D179" s="29" t="str">
        <f>IFERROR(__xludf.DUMMYFUNCTION("""COMPUTED_VALUE"""),"One of the two fleshy folds which surround the opening of the mouth.")</f>
        <v>One of the two fleshy folds which surround the opening of the mouth.</v>
      </c>
      <c r="E179" s="29"/>
      <c r="F179" s="29"/>
      <c r="G179" s="29"/>
      <c r="H179" s="56" t="s">
        <v>19</v>
      </c>
      <c r="I179" s="56" t="s">
        <v>19</v>
      </c>
      <c r="J179" s="56" t="s">
        <v>19</v>
      </c>
      <c r="K179" s="55" t="str">
        <f t="shared" si="8"/>
        <v>International</v>
      </c>
      <c r="M179" s="40"/>
    </row>
    <row r="180" hidden="1">
      <c r="A180" s="29"/>
      <c r="B180" s="53" t="str">
        <f>IFERROR(__xludf.DUMMYFUNCTION("""COMPUTED_VALUE"""),"     Jaw [UBERON:0011595]               ")</f>
        <v>     Jaw [UBERON:0011595]               </v>
      </c>
      <c r="C180" s="29" t="str">
        <f>IFERROR(__xludf.DUMMYFUNCTION("""COMPUTED_VALUE"""),"UBERON:0011595")</f>
        <v>UBERON:0011595</v>
      </c>
      <c r="D180" s="29" t="str">
        <f>IFERROR(__xludf.DUMMYFUNCTION("""COMPUTED_VALUE"""),"A subdivision of the head that corresponds to the jaw skeleton, containing both soft tissue, skeleton and teeth (when present). The jaw region is divided into upper and lower regions.")</f>
        <v>A subdivision of the head that corresponds to the jaw skeleton, containing both soft tissue, skeleton and teeth (when present). The jaw region is divided into upper and lower regions.</v>
      </c>
      <c r="E180" s="29"/>
      <c r="F180" s="29"/>
      <c r="G180" s="29"/>
      <c r="H180" s="56" t="s">
        <v>19</v>
      </c>
      <c r="I180" s="56" t="s">
        <v>19</v>
      </c>
      <c r="J180" s="56" t="s">
        <v>19</v>
      </c>
      <c r="K180" s="55" t="str">
        <f t="shared" si="8"/>
        <v>International</v>
      </c>
      <c r="M180" s="40"/>
    </row>
    <row r="181" hidden="1">
      <c r="A181" s="29"/>
      <c r="B181" s="53" t="str">
        <f>IFERROR(__xludf.DUMMYFUNCTION("""COMPUTED_VALUE"""),"     Tongue [UBERON:0001723]               ")</f>
        <v>     Tongue [UBERON:0001723]               </v>
      </c>
      <c r="C181" s="29" t="str">
        <f>IFERROR(__xludf.DUMMYFUNCTION("""COMPUTED_VALUE"""),"UBERON:0001723")</f>
        <v>UBERON:0001723</v>
      </c>
      <c r="D181" s="29" t="str">
        <f>IFERROR(__xludf.DUMMYFUNCTION("""COMPUTED_VALUE"""),"A muscular organ in the floor of the mouth.")</f>
        <v>A muscular organ in the floor of the mouth.</v>
      </c>
      <c r="E181" s="29"/>
      <c r="F181" s="29"/>
      <c r="G181" s="29"/>
      <c r="H181" s="56" t="s">
        <v>19</v>
      </c>
      <c r="I181" s="56" t="s">
        <v>19</v>
      </c>
      <c r="J181" s="56" t="s">
        <v>19</v>
      </c>
      <c r="K181" s="55" t="str">
        <f t="shared" si="8"/>
        <v>International</v>
      </c>
      <c r="M181" s="40"/>
    </row>
    <row r="182" hidden="1">
      <c r="A182" s="29"/>
      <c r="B182" s="53" t="str">
        <f>IFERROR(__xludf.DUMMYFUNCTION("""COMPUTED_VALUE"""),"Hypogastrium (suprapubic region) [UBERON:0013203]                    ")</f>
        <v>Hypogastrium (suprapubic region) [UBERON:0013203]                    </v>
      </c>
      <c r="C182" s="29" t="str">
        <f>IFERROR(__xludf.DUMMYFUNCTION("""COMPUTED_VALUE"""),"UBERON:0013203")</f>
        <v>UBERON:0013203</v>
      </c>
      <c r="D182" s="29" t="str">
        <f>IFERROR(__xludf.DUMMYFUNCTION("""COMPUTED_VALUE"""),"The hypogastrium (or hypogastric region, or pubic region) is an area of the human abdomen located below the navel.")</f>
        <v>The hypogastrium (or hypogastric region, or pubic region) is an area of the human abdomen located below the navel.</v>
      </c>
      <c r="E182" s="29"/>
      <c r="F182" s="29"/>
      <c r="G182" s="29"/>
      <c r="H182" s="56" t="s">
        <v>19</v>
      </c>
      <c r="I182" s="56" t="s">
        <v>19</v>
      </c>
      <c r="J182" s="56" t="s">
        <v>19</v>
      </c>
      <c r="K182" s="55" t="str">
        <f t="shared" si="8"/>
        <v>International</v>
      </c>
      <c r="M182" s="40"/>
    </row>
    <row r="183" hidden="1">
      <c r="A183" s="29"/>
      <c r="B183" s="53" t="str">
        <f>IFERROR(__xludf.DUMMYFUNCTION("""COMPUTED_VALUE"""),"Leg [UBERON:0000978]                    ")</f>
        <v>Leg [UBERON:0000978]                    </v>
      </c>
      <c r="C183" s="29" t="str">
        <f>IFERROR(__xludf.DUMMYFUNCTION("""COMPUTED_VALUE"""),"UBERON:0000978")</f>
        <v>UBERON:0000978</v>
      </c>
      <c r="D183" s="29" t="str">
        <f>IFERROR(__xludf.DUMMYFUNCTION("""COMPUTED_VALUE"""),"The portion of the hindlimb that contains both the stylopod and zeugopod.")</f>
        <v>The portion of the hindlimb that contains both the stylopod and zeugopod.</v>
      </c>
      <c r="E183" s="29"/>
      <c r="F183" s="29"/>
      <c r="G183" s="29"/>
      <c r="H183" s="56" t="s">
        <v>19</v>
      </c>
      <c r="I183" s="56" t="s">
        <v>19</v>
      </c>
      <c r="J183" s="56" t="s">
        <v>19</v>
      </c>
      <c r="K183" s="55" t="str">
        <f t="shared" si="8"/>
        <v>International</v>
      </c>
      <c r="M183" s="40"/>
    </row>
    <row r="184" hidden="1">
      <c r="A184" s="29"/>
      <c r="B184" s="53" t="str">
        <f>IFERROR(__xludf.DUMMYFUNCTION("""COMPUTED_VALUE"""),"     Ankle [UBERON:0001512]               ")</f>
        <v>     Ankle [UBERON:0001512]               </v>
      </c>
      <c r="C184" s="29" t="str">
        <f>IFERROR(__xludf.DUMMYFUNCTION("""COMPUTED_VALUE"""),"UBERON:0001512")</f>
        <v>UBERON:0001512</v>
      </c>
      <c r="D184" s="29" t="str">
        <f>IFERROR(__xludf.DUMMYFUNCTION("""COMPUTED_VALUE"""),"A zone of skin that is part of an ankle")</f>
        <v>A zone of skin that is part of an ankle</v>
      </c>
      <c r="E184" s="29"/>
      <c r="F184" s="29"/>
      <c r="G184" s="29"/>
      <c r="H184" s="56" t="s">
        <v>19</v>
      </c>
      <c r="I184" s="56" t="s">
        <v>19</v>
      </c>
      <c r="J184" s="56" t="s">
        <v>19</v>
      </c>
      <c r="K184" s="55" t="str">
        <f t="shared" si="8"/>
        <v>International</v>
      </c>
      <c r="M184" s="40"/>
    </row>
    <row r="185" hidden="1">
      <c r="A185" s="29"/>
      <c r="B185" s="53" t="str">
        <f>IFERROR(__xludf.DUMMYFUNCTION("""COMPUTED_VALUE"""),"     Knee [UBERON:0001465]               ")</f>
        <v>     Knee [UBERON:0001465]               </v>
      </c>
      <c r="C185" s="29" t="str">
        <f>IFERROR(__xludf.DUMMYFUNCTION("""COMPUTED_VALUE"""),"UBERON:0001465")</f>
        <v>UBERON:0001465</v>
      </c>
      <c r="D185" s="29" t="str">
        <f>IFERROR(__xludf.DUMMYFUNCTION("""COMPUTED_VALUE"""),"A segment of the hindlimb that corresponds to the joint connecting a hindlimb stylopod and zeugopod.")</f>
        <v>A segment of the hindlimb that corresponds to the joint connecting a hindlimb stylopod and zeugopod.</v>
      </c>
      <c r="E185" s="29"/>
      <c r="F185" s="29"/>
      <c r="G185" s="29"/>
      <c r="H185" s="56" t="s">
        <v>19</v>
      </c>
      <c r="I185" s="56" t="s">
        <v>19</v>
      </c>
      <c r="J185" s="56" t="s">
        <v>19</v>
      </c>
      <c r="K185" s="55" t="str">
        <f t="shared" si="8"/>
        <v>International</v>
      </c>
      <c r="M185" s="40"/>
    </row>
    <row r="186" hidden="1">
      <c r="A186" s="29"/>
      <c r="B186" s="53" t="str">
        <f>IFERROR(__xludf.DUMMYFUNCTION("""COMPUTED_VALUE"""),"     Thigh [UBERON:0000376]               ")</f>
        <v>     Thigh [UBERON:0000376]               </v>
      </c>
      <c r="C186" s="29" t="str">
        <f>IFERROR(__xludf.DUMMYFUNCTION("""COMPUTED_VALUE"""),"UBERON:0000376")</f>
        <v>UBERON:0000376</v>
      </c>
      <c r="D186" s="29" t="str">
        <f>IFERROR(__xludf.DUMMYFUNCTION("""COMPUTED_VALUE"""),"The part of the hindlimb between pelvis and the knee, corresponding to the femur.")</f>
        <v>The part of the hindlimb between pelvis and the knee, corresponding to the femur.</v>
      </c>
      <c r="E186" s="29"/>
      <c r="F186" s="29"/>
      <c r="G186" s="29"/>
      <c r="H186" s="56" t="s">
        <v>19</v>
      </c>
      <c r="I186" s="56" t="s">
        <v>19</v>
      </c>
      <c r="J186" s="56" t="s">
        <v>19</v>
      </c>
      <c r="K186" s="55" t="str">
        <f t="shared" si="8"/>
        <v>International</v>
      </c>
      <c r="M186" s="40"/>
    </row>
    <row r="187" hidden="1">
      <c r="A187" s="29"/>
      <c r="B187" s="53" t="str">
        <f>IFERROR(__xludf.DUMMYFUNCTION("""COMPUTED_VALUE"""),"Lower body [GENEPIO:0100492]                    ")</f>
        <v>Lower body [GENEPIO:0100492]                    </v>
      </c>
      <c r="C187" s="29" t="str">
        <f>IFERROR(__xludf.DUMMYFUNCTION("""COMPUTED_VALUE"""),"GENEPIO:0100492")</f>
        <v>GENEPIO:0100492</v>
      </c>
      <c r="D187" s="29" t="str">
        <f>IFERROR(__xludf.DUMMYFUNCTION("""COMPUTED_VALUE"""),"The part of the body that includes the leg, ankle, and foot.")</f>
        <v>The part of the body that includes the leg, ankle, and foot.</v>
      </c>
      <c r="E187" s="29"/>
      <c r="F187" s="29"/>
      <c r="G187" s="29"/>
      <c r="H187" s="56" t="s">
        <v>19</v>
      </c>
      <c r="I187" s="56" t="s">
        <v>19</v>
      </c>
      <c r="J187" s="56" t="s">
        <v>19</v>
      </c>
      <c r="K187" s="55" t="str">
        <f t="shared" si="8"/>
        <v>International</v>
      </c>
      <c r="M187" s="40"/>
    </row>
    <row r="188" hidden="1">
      <c r="A188" s="29"/>
      <c r="B188" s="53" t="str">
        <f>IFERROR(__xludf.DUMMYFUNCTION("""COMPUTED_VALUE"""),"Nasal Cavity [UBERON:0001707]                    ")</f>
        <v>Nasal Cavity [UBERON:0001707]                    </v>
      </c>
      <c r="C188" s="29" t="str">
        <f>IFERROR(__xludf.DUMMYFUNCTION("""COMPUTED_VALUE"""),"UBERON:0001707")</f>
        <v>UBERON:0001707</v>
      </c>
      <c r="D188" s="29" t="str">
        <f>IFERROR(__xludf.DUMMYFUNCTION("""COMPUTED_VALUE"""),"An anatomical cavity that is part of the olfactory apparatus. This includes the space bounded anteriorly by the nares and posteriorly by the choanae, when these structures are present.")</f>
        <v>An anatomical cavity that is part of the olfactory apparatus. This includes the space bounded anteriorly by the nares and posteriorly by the choanae, when these structures are present.</v>
      </c>
      <c r="E188" s="29"/>
      <c r="F188" s="29"/>
      <c r="G188" s="29"/>
      <c r="H188" s="56" t="s">
        <v>19</v>
      </c>
      <c r="I188" s="56" t="s">
        <v>19</v>
      </c>
      <c r="J188" s="56" t="s">
        <v>19</v>
      </c>
      <c r="K188" s="55" t="str">
        <f t="shared" si="8"/>
        <v>International</v>
      </c>
      <c r="M188" s="40"/>
    </row>
    <row r="189" hidden="1">
      <c r="A189" s="29"/>
      <c r="B189" s="53" t="str">
        <f>IFERROR(__xludf.DUMMYFUNCTION("""COMPUTED_VALUE"""),"     Anterior Nares [UBERON:2001427]               ")</f>
        <v>     Anterior Nares [UBERON:2001427]               </v>
      </c>
      <c r="C189" s="29" t="str">
        <f>IFERROR(__xludf.DUMMYFUNCTION("""COMPUTED_VALUE"""),"UBERON:2001427")</f>
        <v>UBERON:2001427</v>
      </c>
      <c r="D189" s="29" t="str">
        <f>IFERROR(__xludf.DUMMYFUNCTION("""COMPUTED_VALUE"""),"The external part of the nose containing the lower nostrils.")</f>
        <v>The external part of the nose containing the lower nostrils.</v>
      </c>
      <c r="E189" s="29"/>
      <c r="F189" s="29"/>
      <c r="G189" s="29"/>
      <c r="H189" s="56" t="s">
        <v>19</v>
      </c>
      <c r="I189" s="56" t="s">
        <v>19</v>
      </c>
      <c r="J189" s="56" t="s">
        <v>19</v>
      </c>
      <c r="K189" s="55" t="str">
        <f t="shared" si="8"/>
        <v>International</v>
      </c>
      <c r="M189" s="40"/>
    </row>
    <row r="190" hidden="1">
      <c r="A190" s="29"/>
      <c r="B190" s="53" t="str">
        <f>IFERROR(__xludf.DUMMYFUNCTION("""COMPUTED_VALUE"""),"     Inferior Nasal Turbinate [UBERON:0005921]               ")</f>
        <v>     Inferior Nasal Turbinate [UBERON:0005921]               </v>
      </c>
      <c r="C190" s="29" t="str">
        <f>IFERROR(__xludf.DUMMYFUNCTION("""COMPUTED_VALUE"""),"UBERON:0005921")</f>
        <v>UBERON:0005921</v>
      </c>
      <c r="D190" s="29" t="str">
        <f>IFERROR(__xludf.DUMMYFUNCTION("""COMPUTED_VALUE"""),"The medial surface of the labyrinth of ethmoid consists of a thin lamella, which descends from the under surface of the cribriform plate, and ends below in a free, convoluted margin, the middle nasal concha. It is rough, and marked above by numerous groov"&amp;"es, directed nearly vertically downward from the cribriform plate; they lodge branches of the olfactory nerves, which are distributed to the mucous membrane covering the superior nasal concha.")</f>
        <v>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v>
      </c>
      <c r="E190" s="29"/>
      <c r="F190" s="29"/>
      <c r="G190" s="29"/>
      <c r="H190" s="56" t="s">
        <v>19</v>
      </c>
      <c r="I190" s="56" t="s">
        <v>19</v>
      </c>
      <c r="J190" s="56" t="s">
        <v>19</v>
      </c>
      <c r="K190" s="55" t="str">
        <f t="shared" si="8"/>
        <v>International</v>
      </c>
      <c r="M190" s="40"/>
    </row>
    <row r="191" hidden="1">
      <c r="A191" s="29"/>
      <c r="B191" s="53" t="str">
        <f>IFERROR(__xludf.DUMMYFUNCTION("""COMPUTED_VALUE"""),"     Middle Nasal Turbinate [UBERON:0005922]               ")</f>
        <v>     Middle Nasal Turbinate [UBERON:0005922]               </v>
      </c>
      <c r="C191" s="29" t="str">
        <f>IFERROR(__xludf.DUMMYFUNCTION("""COMPUTED_VALUE"""),"UBERON:0005922")</f>
        <v>UBERON:0005922</v>
      </c>
      <c r="D191" s="29" t="str">
        <f>IFERROR(__xludf.DUMMYFUNCTION("""COMPUTED_VALUE"""),"A turbinal located on the maxilla bone.")</f>
        <v>A turbinal located on the maxilla bone.</v>
      </c>
      <c r="E191" s="29"/>
      <c r="F191" s="29"/>
      <c r="G191" s="29"/>
      <c r="H191" s="56" t="s">
        <v>19</v>
      </c>
      <c r="I191" s="56" t="s">
        <v>19</v>
      </c>
      <c r="J191" s="56" t="s">
        <v>19</v>
      </c>
      <c r="K191" s="55" t="str">
        <f t="shared" si="8"/>
        <v>International</v>
      </c>
      <c r="M191" s="40"/>
    </row>
    <row r="192" hidden="1">
      <c r="A192" s="29"/>
      <c r="B192" s="53" t="str">
        <f>IFERROR(__xludf.DUMMYFUNCTION("""COMPUTED_VALUE"""),"Neck [UBERON:0000974]                    ")</f>
        <v>Neck [UBERON:0000974]                    </v>
      </c>
      <c r="C192" s="29" t="str">
        <f>IFERROR(__xludf.DUMMYFUNCTION("""COMPUTED_VALUE"""),"UBERON:0000974")</f>
        <v>UBERON:0000974</v>
      </c>
      <c r="D192" s="29" t="str">
        <f>IFERROR(__xludf.DUMMYFUNCTION("""COMPUTED_VALUE"""),"An organism subdivision that extends from the head to the pectoral girdle, encompassing the cervical vertebral column.")</f>
        <v>An organism subdivision that extends from the head to the pectoral girdle, encompassing the cervical vertebral column.</v>
      </c>
      <c r="E192" s="29"/>
      <c r="F192" s="29"/>
      <c r="G192" s="29"/>
      <c r="H192" s="56" t="s">
        <v>19</v>
      </c>
      <c r="I192" s="56" t="s">
        <v>19</v>
      </c>
      <c r="J192" s="56" t="s">
        <v>19</v>
      </c>
      <c r="K192" s="55" t="str">
        <f t="shared" si="8"/>
        <v>International</v>
      </c>
      <c r="M192" s="40"/>
    </row>
    <row r="193" hidden="1">
      <c r="A193" s="29"/>
      <c r="B193" s="53" t="str">
        <f>IFERROR(__xludf.DUMMYFUNCTION("""COMPUTED_VALUE"""),"     Pharynx (throat) [UBERON:0006562]               ")</f>
        <v>     Pharynx (throat) [UBERON:0006562]               </v>
      </c>
      <c r="C193" s="29" t="str">
        <f>IFERROR(__xludf.DUMMYFUNCTION("""COMPUTED_VALUE"""),"UBERON:0006562")</f>
        <v>UBERON:0006562</v>
      </c>
      <c r="D193" s="29" t="str">
        <f>IFERROR(__xludf.DUMMYFUNCTION("""COMPUTED_VALUE"""),"A zone of skin that is part of an ankle")</f>
        <v>A zone of skin that is part of an ankle</v>
      </c>
      <c r="E193" s="29"/>
      <c r="F193" s="29"/>
      <c r="G193" s="29"/>
      <c r="H193" s="56" t="s">
        <v>19</v>
      </c>
      <c r="I193" s="56" t="s">
        <v>19</v>
      </c>
      <c r="J193" s="56" t="s">
        <v>19</v>
      </c>
      <c r="K193" s="55" t="str">
        <f t="shared" si="8"/>
        <v>International</v>
      </c>
      <c r="M193" s="40"/>
    </row>
    <row r="194" hidden="1">
      <c r="A194" s="29"/>
      <c r="B194" s="53" t="str">
        <f>IFERROR(__xludf.DUMMYFUNCTION("""COMPUTED_VALUE"""),"          Nasopharynx (NP) [UBERON:0001728]          ")</f>
        <v>          Nasopharynx (NP) [UBERON:0001728]          </v>
      </c>
      <c r="C194" s="29" t="str">
        <f>IFERROR(__xludf.DUMMYFUNCTION("""COMPUTED_VALUE"""),"UBERON:0001728")</f>
        <v>UBERON:0001728</v>
      </c>
      <c r="D194" s="29" t="str">
        <f>IFERROR(__xludf.DUMMYFUNCTION("""COMPUTED_VALUE"""),"The section of the pharynx that lies above the soft palate.")</f>
        <v>The section of the pharynx that lies above the soft palate.</v>
      </c>
      <c r="E194" s="29"/>
      <c r="F194" s="29"/>
      <c r="G194" s="29"/>
      <c r="H194" s="56" t="s">
        <v>19</v>
      </c>
      <c r="I194" s="56" t="s">
        <v>19</v>
      </c>
      <c r="J194" s="56" t="s">
        <v>19</v>
      </c>
      <c r="K194" s="55" t="str">
        <f t="shared" si="8"/>
        <v>International</v>
      </c>
      <c r="M194" s="40"/>
    </row>
    <row r="195" hidden="1">
      <c r="A195" s="29"/>
      <c r="B195" s="53" t="str">
        <f>IFERROR(__xludf.DUMMYFUNCTION("""COMPUTED_VALUE"""),"          Oropharynx (OP) [UBERON:0001729]          ")</f>
        <v>          Oropharynx (OP) [UBERON:0001729]          </v>
      </c>
      <c r="C195" s="29" t="str">
        <f>IFERROR(__xludf.DUMMYFUNCTION("""COMPUTED_VALUE"""),"UBERON:0001729")</f>
        <v>UBERON:0001729</v>
      </c>
      <c r="D195" s="29" t="str">
        <f>IFERROR(__xludf.DUMMYFUNCTION("""COMPUTED_VALUE"""),"The portion of the pharynx that lies between the soft palate and the upper edge of the epiglottis.")</f>
        <v>The portion of the pharynx that lies between the soft palate and the upper edge of the epiglottis.</v>
      </c>
      <c r="E195" s="29"/>
      <c r="F195" s="29"/>
      <c r="G195" s="29"/>
      <c r="H195" s="56" t="s">
        <v>19</v>
      </c>
      <c r="I195" s="56" t="s">
        <v>19</v>
      </c>
      <c r="J195" s="56" t="s">
        <v>19</v>
      </c>
      <c r="K195" s="55" t="str">
        <f t="shared" si="8"/>
        <v>International</v>
      </c>
      <c r="M195" s="40"/>
    </row>
    <row r="196" hidden="1">
      <c r="A196" s="29"/>
      <c r="B196" s="53" t="str">
        <f>IFERROR(__xludf.DUMMYFUNCTION("""COMPUTED_VALUE"""),"     Trachea [UBERON:0003126]               ")</f>
        <v>     Trachea [UBERON:0003126]               </v>
      </c>
      <c r="C196" s="29" t="str">
        <f>IFERROR(__xludf.DUMMYFUNCTION("""COMPUTED_VALUE"""),"UBERON:0003126")</f>
        <v>UBERON:0003126</v>
      </c>
      <c r="D196" s="29" t="str">
        <f>IFERROR(__xludf.DUMMYFUNCTION("""COMPUTED_VALUE"""),"The trachea is the portion of the airway that attaches to the bronchi as it branches.")</f>
        <v>The trachea is the portion of the airway that attaches to the bronchi as it branches.</v>
      </c>
      <c r="E196" s="29"/>
      <c r="F196" s="29"/>
      <c r="G196" s="29"/>
      <c r="H196" s="56" t="s">
        <v>19</v>
      </c>
      <c r="I196" s="56" t="s">
        <v>19</v>
      </c>
      <c r="J196" s="56" t="s">
        <v>19</v>
      </c>
      <c r="K196" s="55" t="str">
        <f t="shared" si="8"/>
        <v>International</v>
      </c>
      <c r="M196" s="40"/>
    </row>
    <row r="197" hidden="1">
      <c r="A197" s="29"/>
      <c r="B197" s="53" t="str">
        <f>IFERROR(__xludf.DUMMYFUNCTION("""COMPUTED_VALUE"""),"Rectum [UBERON:0001052]                    ")</f>
        <v>Rectum [UBERON:0001052]                    </v>
      </c>
      <c r="C197" s="29" t="str">
        <f>IFERROR(__xludf.DUMMYFUNCTION("""COMPUTED_VALUE"""),"UBERON:0001052")</f>
        <v>UBERON:0001052</v>
      </c>
      <c r="D197" s="29" t="str">
        <f>IFERROR(__xludf.DUMMYFUNCTION("""COMPUTED_VALUE"""),"The terminal portion of the intestinal tube, terminating with the anus.")</f>
        <v>The terminal portion of the intestinal tube, terminating with the anus.</v>
      </c>
      <c r="E197" s="29"/>
      <c r="F197" s="29"/>
      <c r="G197" s="29"/>
      <c r="H197" s="56" t="s">
        <v>19</v>
      </c>
      <c r="I197" s="56" t="s">
        <v>19</v>
      </c>
      <c r="J197" s="56" t="s">
        <v>19</v>
      </c>
      <c r="K197" s="55" t="str">
        <f t="shared" si="8"/>
        <v>International</v>
      </c>
      <c r="M197" s="40"/>
    </row>
    <row r="198" hidden="1">
      <c r="A198" s="29"/>
      <c r="B198" s="53" t="str">
        <f>IFERROR(__xludf.DUMMYFUNCTION("""COMPUTED_VALUE"""),"Shoulder [UBERON:0001467]                    ")</f>
        <v>Shoulder [UBERON:0001467]                    </v>
      </c>
      <c r="C198" s="29" t="str">
        <f>IFERROR(__xludf.DUMMYFUNCTION("""COMPUTED_VALUE"""),"UBERON:0001467")</f>
        <v>UBERON:0001467</v>
      </c>
      <c r="D198" s="29" t="str">
        <f>IFERROR(__xludf.DUMMYFUNCTION("""COMPUTED_VALUE"""),"A subdivision of the pectoral complex consisting of the structures in the region of the shoulder joint (which connects the humerus, scapula and clavicle).")</f>
        <v>A subdivision of the pectoral complex consisting of the structures in the region of the shoulder joint (which connects the humerus, scapula and clavicle).</v>
      </c>
      <c r="E198" s="29"/>
      <c r="F198" s="29"/>
      <c r="G198" s="29"/>
      <c r="H198" s="56" t="s">
        <v>19</v>
      </c>
      <c r="I198" s="56" t="s">
        <v>19</v>
      </c>
      <c r="J198" s="56" t="s">
        <v>19</v>
      </c>
      <c r="K198" s="55" t="str">
        <f t="shared" si="8"/>
        <v>International</v>
      </c>
      <c r="M198" s="40"/>
    </row>
    <row r="199" hidden="1">
      <c r="A199" s="29"/>
      <c r="B199" s="53" t="str">
        <f>IFERROR(__xludf.DUMMYFUNCTION("""COMPUTED_VALUE"""),"Skin [UBERON:0001003]                    ")</f>
        <v>Skin [UBERON:0001003]                    </v>
      </c>
      <c r="C199" s="29" t="str">
        <f>IFERROR(__xludf.DUMMYFUNCTION("""COMPUTED_VALUE"""),"UBERON:0001003")</f>
        <v>UBERON:0001003</v>
      </c>
      <c r="D199" s="29" t="str">
        <f>IFERROR(__xludf.DUMMYFUNCTION("""COMPUTED_VALUE"""),"The outer epithelial layer of the skin that is superficial to the dermis.")</f>
        <v>The outer epithelial layer of the skin that is superficial to the dermis.</v>
      </c>
      <c r="E199" s="29"/>
      <c r="F199" s="29"/>
      <c r="G199" s="29"/>
      <c r="H199" s="56" t="s">
        <v>19</v>
      </c>
      <c r="I199" s="56" t="s">
        <v>19</v>
      </c>
      <c r="J199" s="56" t="s">
        <v>19</v>
      </c>
      <c r="K199" s="55" t="str">
        <f t="shared" si="8"/>
        <v>International</v>
      </c>
      <c r="M199" s="40"/>
    </row>
    <row r="200" hidden="1">
      <c r="A200" s="29"/>
      <c r="B200" s="53" t="str">
        <f>IFERROR(__xludf.DUMMYFUNCTION("""COMPUTED_VALUE"""),"                    ")</f>
        <v>                    </v>
      </c>
      <c r="C200" s="29"/>
      <c r="D200" s="29" t="str">
        <f>IFERROR(__xludf.DUMMYFUNCTION("""COMPUTED_VALUE"""),"")</f>
        <v/>
      </c>
      <c r="E200" s="29"/>
      <c r="F200" s="29"/>
      <c r="G200" s="29"/>
      <c r="H200" s="29"/>
      <c r="I200" s="29"/>
      <c r="J200" s="29"/>
      <c r="K200" s="55" t="str">
        <f t="shared" si="8"/>
        <v>International</v>
      </c>
      <c r="M200" s="58"/>
    </row>
    <row r="201" hidden="1">
      <c r="A201" s="29"/>
      <c r="B201" s="53" t="str">
        <f>IFERROR(__xludf.DUMMYFUNCTION("""COMPUTED_VALUE"""),"                    ")</f>
        <v>                    </v>
      </c>
      <c r="C201" s="29"/>
      <c r="D201" s="29" t="str">
        <f>IFERROR(__xludf.DUMMYFUNCTION("""COMPUTED_VALUE"""),"")</f>
        <v/>
      </c>
      <c r="E201" s="29"/>
      <c r="F201" s="29"/>
      <c r="G201" s="29"/>
      <c r="H201" s="29"/>
      <c r="I201" s="29"/>
      <c r="J201" s="29"/>
      <c r="K201" s="55" t="str">
        <f t="shared" si="8"/>
        <v>International</v>
      </c>
      <c r="M201" s="58"/>
    </row>
    <row r="202">
      <c r="A202" s="34" t="str">
        <f>IFERROR(__xludf.DUMMYFUNCTION("""COMPUTED_VALUE"""),"body product menu")</f>
        <v>body product menu</v>
      </c>
      <c r="B202" s="53" t="str">
        <f>IFERROR(__xludf.DUMMYFUNCTION("""COMPUTED_VALUE"""),"                    ")</f>
        <v>                    </v>
      </c>
      <c r="C202" s="34"/>
      <c r="D202" s="29" t="str">
        <f>IFERROR(__xludf.DUMMYFUNCTION("""COMPUTED_VALUE"""),"")</f>
        <v/>
      </c>
      <c r="E202" s="34"/>
      <c r="F202" s="34"/>
      <c r="G202" s="34"/>
      <c r="H202" s="34"/>
      <c r="I202" s="34"/>
      <c r="J202" s="34"/>
      <c r="K202" s="34" t="str">
        <f>VLOOKUP(L202,'Field Reference Guide'!$B$7:$N$207,13,false)</f>
        <v>Mpox</v>
      </c>
      <c r="L202" s="34" t="str">
        <f>LEFT(A202, LEN(A202) - 5)
</f>
        <v>body product</v>
      </c>
      <c r="M202" s="34" t="str">
        <f>VLOOKUP(L202,'Field Reference Guide'!$B$6:$N$220,13,false)</f>
        <v>Mpox</v>
      </c>
    </row>
    <row r="203">
      <c r="A203" s="34"/>
      <c r="B203" s="53" t="str">
        <f>IFERROR(__xludf.DUMMYFUNCTION("""COMPUTED_VALUE"""),"Breast Milk                    ")</f>
        <v>Breast Milk                    </v>
      </c>
      <c r="C203" s="34" t="str">
        <f>IFERROR(__xludf.DUMMYFUNCTION("""COMPUTED_VALUE"""),"UBERON:0001913")</f>
        <v>UBERON:0001913</v>
      </c>
      <c r="D203" s="29" t="str">
        <f>IFERROR(__xludf.DUMMYFUNCTION("""COMPUTED_VALUE"""),"An emulsion of fat globules within a fluid that is secreted by the mammary gland during lactation.")</f>
        <v>An emulsion of fat globules within a fluid that is secreted by the mammary gland during lactation.</v>
      </c>
      <c r="H203" s="55" t="s">
        <v>19</v>
      </c>
      <c r="I203" s="55" t="s">
        <v>19</v>
      </c>
      <c r="J203" s="55" t="s">
        <v>19</v>
      </c>
      <c r="K203" s="55" t="str">
        <f t="shared" ref="K203:K212" si="9">K202</f>
        <v>Mpox</v>
      </c>
      <c r="M203" s="57" t="s">
        <v>26</v>
      </c>
    </row>
    <row r="204">
      <c r="A204" s="34"/>
      <c r="B204" s="53" t="str">
        <f>IFERROR(__xludf.DUMMYFUNCTION("""COMPUTED_VALUE"""),"Feces                    ")</f>
        <v>Feces                    </v>
      </c>
      <c r="C204" s="34" t="str">
        <f>IFERROR(__xludf.DUMMYFUNCTION("""COMPUTED_VALUE"""),"UBERON:0001988")</f>
        <v>UBERON:0001988</v>
      </c>
      <c r="D204" s="29" t="str">
        <f>IFERROR(__xludf.DUMMYFUNCTION("""COMPUTED_VALUE"""),"Portion of semisolid bodily waste discharged through the anus.")</f>
        <v>Portion of semisolid bodily waste discharged through the anus.</v>
      </c>
      <c r="H204" s="55" t="s">
        <v>19</v>
      </c>
      <c r="I204" s="55" t="s">
        <v>19</v>
      </c>
      <c r="J204" s="55" t="s">
        <v>19</v>
      </c>
      <c r="K204" s="55" t="str">
        <f t="shared" si="9"/>
        <v>Mpox</v>
      </c>
      <c r="M204" s="40"/>
    </row>
    <row r="205">
      <c r="A205" s="34"/>
      <c r="B205" s="53" t="str">
        <f>IFERROR(__xludf.DUMMYFUNCTION("""COMPUTED_VALUE"""),"Fluid (discharge)                    ")</f>
        <v>Fluid (discharge)                    </v>
      </c>
      <c r="C205" s="34" t="str">
        <f>IFERROR(__xludf.DUMMYFUNCTION("""COMPUTED_VALUE"""),"SYMP:0000651")</f>
        <v>SYMP:0000651</v>
      </c>
      <c r="D205" s="29" t="str">
        <f>IFERROR(__xludf.DUMMYFUNCTION("""COMPUTED_VALUE"""),"A fluid that comes out of the body.")</f>
        <v>A fluid that comes out of the body.</v>
      </c>
      <c r="H205" s="55" t="s">
        <v>19</v>
      </c>
      <c r="I205" s="55" t="s">
        <v>19</v>
      </c>
      <c r="J205" s="55" t="s">
        <v>19</v>
      </c>
      <c r="K205" s="55" t="str">
        <f t="shared" si="9"/>
        <v>Mpox</v>
      </c>
      <c r="M205" s="40"/>
    </row>
    <row r="206">
      <c r="A206" s="34"/>
      <c r="B206" s="53" t="str">
        <f>IFERROR(__xludf.DUMMYFUNCTION("""COMPUTED_VALUE"""),"     Pus               ")</f>
        <v>     Pus               </v>
      </c>
      <c r="C206" s="34" t="str">
        <f>IFERROR(__xludf.DUMMYFUNCTION("""COMPUTED_VALUE"""),"UBERON:0000177")</f>
        <v>UBERON:0000177</v>
      </c>
      <c r="D206" s="29" t="str">
        <f>IFERROR(__xludf.DUMMYFUNCTION("""COMPUTED_VALUE"""),"A bodily fluid consisting of a whitish-yellow or yellow substance produced during inflammatory responses of the body that can be found in regions of pyogenic bacterial infections. ")</f>
        <v>A bodily fluid consisting of a whitish-yellow or yellow substance produced during inflammatory responses of the body that can be found in regions of pyogenic bacterial infections. </v>
      </c>
      <c r="H206" s="55" t="s">
        <v>19</v>
      </c>
      <c r="I206" s="55" t="s">
        <v>19</v>
      </c>
      <c r="J206" s="55" t="s">
        <v>19</v>
      </c>
      <c r="K206" s="55" t="str">
        <f t="shared" si="9"/>
        <v>Mpox</v>
      </c>
      <c r="M206" s="40"/>
    </row>
    <row r="207">
      <c r="A207" s="34"/>
      <c r="B207" s="53" t="str">
        <f>IFERROR(__xludf.DUMMYFUNCTION("""COMPUTED_VALUE"""),"Fluid (seminal)                    ")</f>
        <v>Fluid (seminal)                    </v>
      </c>
      <c r="C207" s="34" t="str">
        <f>IFERROR(__xludf.DUMMYFUNCTION("""COMPUTED_VALUE"""),"UBERON:0006530")</f>
        <v>UBERON:0006530</v>
      </c>
      <c r="D207"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H207" s="55" t="s">
        <v>19</v>
      </c>
      <c r="I207" s="55" t="s">
        <v>19</v>
      </c>
      <c r="J207" s="55" t="s">
        <v>19</v>
      </c>
      <c r="K207" s="55" t="str">
        <f t="shared" si="9"/>
        <v>Mpox</v>
      </c>
      <c r="M207" s="40"/>
    </row>
    <row r="208">
      <c r="A208" s="34"/>
      <c r="B208" s="53" t="str">
        <f>IFERROR(__xludf.DUMMYFUNCTION("""COMPUTED_VALUE"""),"Mucus                    ")</f>
        <v>Mucus                    </v>
      </c>
      <c r="C208" s="34" t="str">
        <f>IFERROR(__xludf.DUMMYFUNCTION("""COMPUTED_VALUE"""),"UBERON:0000912")</f>
        <v>UBERON:0000912</v>
      </c>
      <c r="D208"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H208" s="55" t="s">
        <v>19</v>
      </c>
      <c r="I208" s="55" t="s">
        <v>19</v>
      </c>
      <c r="J208" s="55" t="s">
        <v>19</v>
      </c>
      <c r="K208" s="55" t="str">
        <f t="shared" si="9"/>
        <v>Mpox</v>
      </c>
      <c r="M208" s="40"/>
    </row>
    <row r="209">
      <c r="A209" s="34"/>
      <c r="B209" s="53" t="str">
        <f>IFERROR(__xludf.DUMMYFUNCTION("""COMPUTED_VALUE"""),"     Sputum               ")</f>
        <v>     Sputum               </v>
      </c>
      <c r="C209" s="34" t="str">
        <f>IFERROR(__xludf.DUMMYFUNCTION("""COMPUTED_VALUE"""),"UBERON:0007311")</f>
        <v>UBERON:0007311</v>
      </c>
      <c r="D209" s="29" t="str">
        <f>IFERROR(__xludf.DUMMYFUNCTION("""COMPUTED_VALUE"""),"Matter ejected from the lungs, bronchi, and trachea, through the mouth.")</f>
        <v>Matter ejected from the lungs, bronchi, and trachea, through the mouth.</v>
      </c>
      <c r="H209" s="55" t="s">
        <v>19</v>
      </c>
      <c r="I209" s="55" t="s">
        <v>19</v>
      </c>
      <c r="J209" s="55" t="s">
        <v>19</v>
      </c>
      <c r="K209" s="55" t="str">
        <f t="shared" si="9"/>
        <v>Mpox</v>
      </c>
      <c r="M209" s="40"/>
    </row>
    <row r="210">
      <c r="A210" s="34"/>
      <c r="B210" s="53" t="str">
        <f>IFERROR(__xludf.DUMMYFUNCTION("""COMPUTED_VALUE"""),"Sweat                    ")</f>
        <v>Sweat                    </v>
      </c>
      <c r="C210" s="34" t="str">
        <f>IFERROR(__xludf.DUMMYFUNCTION("""COMPUTED_VALUE"""),"UBERON:0001089")</f>
        <v>UBERON:0001089</v>
      </c>
      <c r="D210" s="29" t="str">
        <f>IFERROR(__xludf.DUMMYFUNCTION("""COMPUTED_VALUE"""),"Secretion produced by a sweat gland.")</f>
        <v>Secretion produced by a sweat gland.</v>
      </c>
      <c r="H210" s="55" t="s">
        <v>19</v>
      </c>
      <c r="I210" s="55" t="s">
        <v>19</v>
      </c>
      <c r="J210" s="55" t="s">
        <v>19</v>
      </c>
      <c r="K210" s="55" t="str">
        <f t="shared" si="9"/>
        <v>Mpox</v>
      </c>
      <c r="M210" s="40"/>
    </row>
    <row r="211">
      <c r="A211" s="34"/>
      <c r="B211" s="53" t="str">
        <f>IFERROR(__xludf.DUMMYFUNCTION("""COMPUTED_VALUE"""),"Tear                    ")</f>
        <v>Tear                    </v>
      </c>
      <c r="C211" s="34" t="str">
        <f>IFERROR(__xludf.DUMMYFUNCTION("""COMPUTED_VALUE"""),"UBERON:0001827")</f>
        <v>UBERON:0001827</v>
      </c>
      <c r="D211" s="29" t="str">
        <f>IFERROR(__xludf.DUMMYFUNCTION("""COMPUTED_VALUE"""),"Aqueous substance secreted by the lacrimal gland.")</f>
        <v>Aqueous substance secreted by the lacrimal gland.</v>
      </c>
      <c r="H211" s="55" t="s">
        <v>19</v>
      </c>
      <c r="I211" s="55" t="s">
        <v>19</v>
      </c>
      <c r="J211" s="55" t="s">
        <v>19</v>
      </c>
      <c r="K211" s="55" t="str">
        <f t="shared" si="9"/>
        <v>Mpox</v>
      </c>
      <c r="M211" s="40"/>
    </row>
    <row r="212">
      <c r="A212" s="34"/>
      <c r="B212" s="53" t="str">
        <f>IFERROR(__xludf.DUMMYFUNCTION("""COMPUTED_VALUE"""),"Urine                    ")</f>
        <v>Urine                    </v>
      </c>
      <c r="C212" s="34" t="str">
        <f>IFERROR(__xludf.DUMMYFUNCTION("""COMPUTED_VALUE"""),"UBERON:0001088")</f>
        <v>UBERON:0001088</v>
      </c>
      <c r="D212" s="29" t="str">
        <f>IFERROR(__xludf.DUMMYFUNCTION("""COMPUTED_VALUE"""),"Excretion that is the output of a kidney.")</f>
        <v>Excretion that is the output of a kidney.</v>
      </c>
      <c r="H212" s="55" t="s">
        <v>19</v>
      </c>
      <c r="I212" s="55" t="s">
        <v>19</v>
      </c>
      <c r="J212" s="55" t="s">
        <v>19</v>
      </c>
      <c r="K212" s="55" t="str">
        <f t="shared" si="9"/>
        <v>Mpox</v>
      </c>
      <c r="M212" s="40"/>
    </row>
    <row r="213" hidden="1">
      <c r="A213" s="29" t="str">
        <f>IFERROR(__xludf.DUMMYFUNCTION("""COMPUTED_VALUE"""),"body product international menu")</f>
        <v>body product international menu</v>
      </c>
      <c r="B213" s="53" t="str">
        <f>IFERROR(__xludf.DUMMYFUNCTION("""COMPUTED_VALUE"""),"                    ")</f>
        <v>                    </v>
      </c>
      <c r="C213" s="29"/>
      <c r="D213" s="29" t="str">
        <f>IFERROR(__xludf.DUMMYFUNCTION("""COMPUTED_VALUE"""),"")</f>
        <v/>
      </c>
      <c r="E213" s="29"/>
      <c r="F213" s="29"/>
      <c r="G213" s="29"/>
      <c r="H213" s="29"/>
      <c r="I213" s="29"/>
      <c r="J213" s="29"/>
      <c r="K213" s="59" t="s">
        <v>27</v>
      </c>
      <c r="L213" s="34" t="str">
        <f>LEFT(A213, LEN(A213) - 5)
</f>
        <v>body product international</v>
      </c>
      <c r="M213" s="34" t="str">
        <f>VLOOKUP(L213,'Field Reference Guide'!$B$6:$N$220,13,false)</f>
        <v>#N/A</v>
      </c>
    </row>
    <row r="214" hidden="1">
      <c r="A214" s="29"/>
      <c r="B214" s="53" t="str">
        <f>IFERROR(__xludf.DUMMYFUNCTION("""COMPUTED_VALUE"""),"Breast Milk [UBERON:0001913]                    ")</f>
        <v>Breast Milk [UBERON:0001913]                    </v>
      </c>
      <c r="C214" s="29" t="str">
        <f>IFERROR(__xludf.DUMMYFUNCTION("""COMPUTED_VALUE"""),"UBERON:0001913")</f>
        <v>UBERON:0001913</v>
      </c>
      <c r="D214" s="29" t="str">
        <f>IFERROR(__xludf.DUMMYFUNCTION("""COMPUTED_VALUE"""),"An emulsion of fat globules within a fluid that is secreted by the mammary gland during lactation.")</f>
        <v>An emulsion of fat globules within a fluid that is secreted by the mammary gland during lactation.</v>
      </c>
      <c r="E214" s="29"/>
      <c r="F214" s="29"/>
      <c r="G214" s="29"/>
      <c r="H214" s="56" t="s">
        <v>19</v>
      </c>
      <c r="I214" s="56" t="s">
        <v>19</v>
      </c>
      <c r="J214" s="56" t="s">
        <v>19</v>
      </c>
      <c r="K214" s="55" t="str">
        <f t="shared" ref="K214:K223" si="10">K213</f>
        <v>International</v>
      </c>
      <c r="M214" s="57" t="s">
        <v>28</v>
      </c>
    </row>
    <row r="215" hidden="1">
      <c r="A215" s="29"/>
      <c r="B215" s="53" t="str">
        <f>IFERROR(__xludf.DUMMYFUNCTION("""COMPUTED_VALUE"""),"Feces [UBERON:0001988]                    ")</f>
        <v>Feces [UBERON:0001988]                    </v>
      </c>
      <c r="C215" s="29" t="str">
        <f>IFERROR(__xludf.DUMMYFUNCTION("""COMPUTED_VALUE"""),"UBERON:0001988")</f>
        <v>UBERON:0001988</v>
      </c>
      <c r="D215" s="29" t="str">
        <f>IFERROR(__xludf.DUMMYFUNCTION("""COMPUTED_VALUE"""),"Portion of semisolid bodily waste discharged through the anus.")</f>
        <v>Portion of semisolid bodily waste discharged through the anus.</v>
      </c>
      <c r="E215" s="29"/>
      <c r="F215" s="29"/>
      <c r="G215" s="29"/>
      <c r="H215" s="56" t="s">
        <v>19</v>
      </c>
      <c r="I215" s="56" t="s">
        <v>19</v>
      </c>
      <c r="J215" s="56" t="s">
        <v>19</v>
      </c>
      <c r="K215" s="55" t="str">
        <f t="shared" si="10"/>
        <v>International</v>
      </c>
      <c r="M215" s="40"/>
    </row>
    <row r="216" hidden="1">
      <c r="A216" s="29"/>
      <c r="B216" s="53" t="str">
        <f>IFERROR(__xludf.DUMMYFUNCTION("""COMPUTED_VALUE"""),"Fluid (discharge) [SYMP:0000651]                    ")</f>
        <v>Fluid (discharge) [SYMP:0000651]                    </v>
      </c>
      <c r="C216" s="29" t="str">
        <f>IFERROR(__xludf.DUMMYFUNCTION("""COMPUTED_VALUE"""),"SYMP:0000651")</f>
        <v>SYMP:0000651</v>
      </c>
      <c r="D216" s="29" t="str">
        <f>IFERROR(__xludf.DUMMYFUNCTION("""COMPUTED_VALUE"""),"A fluid that comes out of the body.")</f>
        <v>A fluid that comes out of the body.</v>
      </c>
      <c r="E216" s="29"/>
      <c r="F216" s="29"/>
      <c r="G216" s="29"/>
      <c r="H216" s="56" t="s">
        <v>19</v>
      </c>
      <c r="I216" s="56" t="s">
        <v>19</v>
      </c>
      <c r="J216" s="56" t="s">
        <v>19</v>
      </c>
      <c r="K216" s="55" t="str">
        <f t="shared" si="10"/>
        <v>International</v>
      </c>
      <c r="M216" s="40"/>
    </row>
    <row r="217" hidden="1">
      <c r="A217" s="29"/>
      <c r="B217" s="53" t="str">
        <f>IFERROR(__xludf.DUMMYFUNCTION("""COMPUTED_VALUE"""),"     Pus [UBERON:0000177]               ")</f>
        <v>     Pus [UBERON:0000177]               </v>
      </c>
      <c r="C217" s="29" t="str">
        <f>IFERROR(__xludf.DUMMYFUNCTION("""COMPUTED_VALUE"""),"UBERON:0000177")</f>
        <v>UBERON:0000177</v>
      </c>
      <c r="D217" s="29" t="str">
        <f>IFERROR(__xludf.DUMMYFUNCTION("""COMPUTED_VALUE"""),"A bodily fluid consisting of a whitish-yellow or yellow substance produced during inflammatory responses of the body that can be found in regions of pyogenic bacterial infections. ")</f>
        <v>A bodily fluid consisting of a whitish-yellow or yellow substance produced during inflammatory responses of the body that can be found in regions of pyogenic bacterial infections. </v>
      </c>
      <c r="E217" s="29"/>
      <c r="F217" s="29"/>
      <c r="G217" s="29"/>
      <c r="H217" s="56" t="s">
        <v>19</v>
      </c>
      <c r="I217" s="56" t="s">
        <v>19</v>
      </c>
      <c r="J217" s="56" t="s">
        <v>19</v>
      </c>
      <c r="K217" s="55" t="str">
        <f t="shared" si="10"/>
        <v>International</v>
      </c>
      <c r="M217" s="40"/>
    </row>
    <row r="218" hidden="1">
      <c r="A218" s="29"/>
      <c r="B218" s="53" t="str">
        <f>IFERROR(__xludf.DUMMYFUNCTION("""COMPUTED_VALUE"""),"Fluid (seminal) [UBERON:0006530]                    ")</f>
        <v>Fluid (seminal) [UBERON:0006530]                    </v>
      </c>
      <c r="C218" s="29" t="str">
        <f>IFERROR(__xludf.DUMMYFUNCTION("""COMPUTED_VALUE"""),"UBERON:0006530")</f>
        <v>UBERON:0006530</v>
      </c>
      <c r="D218" s="29" t="str">
        <f>IFERROR(__xludf.DUMMYFUNCTION("""COMPUTED_VALUE"""),"A substance formed from the secretion of one or more glands of the male genital tract in which sperm cells are suspended.")</f>
        <v>A substance formed from the secretion of one or more glands of the male genital tract in which sperm cells are suspended.</v>
      </c>
      <c r="E218" s="29"/>
      <c r="F218" s="29"/>
      <c r="G218" s="29"/>
      <c r="H218" s="56" t="s">
        <v>19</v>
      </c>
      <c r="I218" s="56" t="s">
        <v>19</v>
      </c>
      <c r="J218" s="56" t="s">
        <v>19</v>
      </c>
      <c r="K218" s="55" t="str">
        <f t="shared" si="10"/>
        <v>International</v>
      </c>
      <c r="M218" s="40"/>
    </row>
    <row r="219" hidden="1">
      <c r="A219" s="29"/>
      <c r="B219" s="53" t="str">
        <f>IFERROR(__xludf.DUMMYFUNCTION("""COMPUTED_VALUE"""),"Mucus [UBERON:0000912]                    ")</f>
        <v>Mucus [UBERON:0000912]                    </v>
      </c>
      <c r="C219" s="29" t="str">
        <f>IFERROR(__xludf.DUMMYFUNCTION("""COMPUTED_VALUE"""),"UBERON:0000912")</f>
        <v>UBERON:0000912</v>
      </c>
      <c r="D219" s="29" t="str">
        <f>IFERROR(__xludf.DUMMYFUNCTION("""COMPUTED_VALUE"""),"Mucus is a bodily fluid consisting of a slippery secretion of the lining of the mucous membranes in the body. It is a viscous colloid containing antiseptic enzymes (such as lysozyme) and immunoglobulins. Mucus is produced by goblet cells in the mucous mem"&amp;"branes that cover the surfaces of the membranes. It is made up of mucins and inorganic salts suspended in water.")</f>
        <v>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v>
      </c>
      <c r="E219" s="29"/>
      <c r="F219" s="29"/>
      <c r="G219" s="29"/>
      <c r="H219" s="56" t="s">
        <v>19</v>
      </c>
      <c r="I219" s="56" t="s">
        <v>19</v>
      </c>
      <c r="J219" s="56" t="s">
        <v>19</v>
      </c>
      <c r="K219" s="55" t="str">
        <f t="shared" si="10"/>
        <v>International</v>
      </c>
      <c r="M219" s="40"/>
    </row>
    <row r="220" hidden="1">
      <c r="A220" s="29"/>
      <c r="B220" s="53" t="str">
        <f>IFERROR(__xludf.DUMMYFUNCTION("""COMPUTED_VALUE"""),"     Sputum [UBERON:0007311]               ")</f>
        <v>     Sputum [UBERON:0007311]               </v>
      </c>
      <c r="C220" s="29" t="str">
        <f>IFERROR(__xludf.DUMMYFUNCTION("""COMPUTED_VALUE"""),"UBERON:0007311")</f>
        <v>UBERON:0007311</v>
      </c>
      <c r="D220" s="29" t="str">
        <f>IFERROR(__xludf.DUMMYFUNCTION("""COMPUTED_VALUE"""),"Matter ejected from the lungs, bronchi, and trachea, through the mouth.")</f>
        <v>Matter ejected from the lungs, bronchi, and trachea, through the mouth.</v>
      </c>
      <c r="E220" s="29"/>
      <c r="F220" s="29"/>
      <c r="G220" s="29"/>
      <c r="H220" s="56" t="s">
        <v>19</v>
      </c>
      <c r="I220" s="56" t="s">
        <v>19</v>
      </c>
      <c r="J220" s="56" t="s">
        <v>19</v>
      </c>
      <c r="K220" s="55" t="str">
        <f t="shared" si="10"/>
        <v>International</v>
      </c>
      <c r="M220" s="40"/>
    </row>
    <row r="221" hidden="1">
      <c r="A221" s="29"/>
      <c r="B221" s="53" t="str">
        <f>IFERROR(__xludf.DUMMYFUNCTION("""COMPUTED_VALUE"""),"Sweat [UBERON:0001089]                    ")</f>
        <v>Sweat [UBERON:0001089]                    </v>
      </c>
      <c r="C221" s="29" t="str">
        <f>IFERROR(__xludf.DUMMYFUNCTION("""COMPUTED_VALUE"""),"UBERON:0001089")</f>
        <v>UBERON:0001089</v>
      </c>
      <c r="D221" s="29" t="str">
        <f>IFERROR(__xludf.DUMMYFUNCTION("""COMPUTED_VALUE"""),"Secretion produced by a sweat gland.")</f>
        <v>Secretion produced by a sweat gland.</v>
      </c>
      <c r="E221" s="29"/>
      <c r="F221" s="29"/>
      <c r="G221" s="29"/>
      <c r="H221" s="56" t="s">
        <v>19</v>
      </c>
      <c r="I221" s="56" t="s">
        <v>19</v>
      </c>
      <c r="J221" s="56" t="s">
        <v>19</v>
      </c>
      <c r="K221" s="55" t="str">
        <f t="shared" si="10"/>
        <v>International</v>
      </c>
      <c r="M221" s="40"/>
    </row>
    <row r="222" hidden="1">
      <c r="A222" s="29"/>
      <c r="B222" s="53" t="str">
        <f>IFERROR(__xludf.DUMMYFUNCTION("""COMPUTED_VALUE"""),"Tear [UBERON:0001827]                    ")</f>
        <v>Tear [UBERON:0001827]                    </v>
      </c>
      <c r="C222" s="29" t="str">
        <f>IFERROR(__xludf.DUMMYFUNCTION("""COMPUTED_VALUE"""),"UBERON:0001827")</f>
        <v>UBERON:0001827</v>
      </c>
      <c r="D222" s="29" t="str">
        <f>IFERROR(__xludf.DUMMYFUNCTION("""COMPUTED_VALUE"""),"Aqueous substance secreted by the lacrimal gland.")</f>
        <v>Aqueous substance secreted by the lacrimal gland.</v>
      </c>
      <c r="E222" s="29"/>
      <c r="F222" s="29"/>
      <c r="G222" s="29"/>
      <c r="H222" s="56" t="s">
        <v>19</v>
      </c>
      <c r="I222" s="56" t="s">
        <v>19</v>
      </c>
      <c r="J222" s="56" t="s">
        <v>19</v>
      </c>
      <c r="K222" s="55" t="str">
        <f t="shared" si="10"/>
        <v>International</v>
      </c>
      <c r="M222" s="40"/>
    </row>
    <row r="223" hidden="1">
      <c r="A223" s="29"/>
      <c r="B223" s="53" t="str">
        <f>IFERROR(__xludf.DUMMYFUNCTION("""COMPUTED_VALUE"""),"Urine [UBERON:0001088]                    ")</f>
        <v>Urine [UBERON:0001088]                    </v>
      </c>
      <c r="C223" s="29" t="str">
        <f>IFERROR(__xludf.DUMMYFUNCTION("""COMPUTED_VALUE"""),"UBERON:0001088")</f>
        <v>UBERON:0001088</v>
      </c>
      <c r="D223" s="29" t="str">
        <f>IFERROR(__xludf.DUMMYFUNCTION("""COMPUTED_VALUE"""),"Excretion that is the output of a kidney.")</f>
        <v>Excretion that is the output of a kidney.</v>
      </c>
      <c r="E223" s="29"/>
      <c r="F223" s="29"/>
      <c r="G223" s="29"/>
      <c r="H223" s="56" t="s">
        <v>19</v>
      </c>
      <c r="I223" s="56" t="s">
        <v>19</v>
      </c>
      <c r="J223" s="56" t="s">
        <v>19</v>
      </c>
      <c r="K223" s="55" t="str">
        <f t="shared" si="10"/>
        <v>International</v>
      </c>
      <c r="M223" s="40"/>
    </row>
    <row r="224" hidden="1">
      <c r="A224" s="29" t="str">
        <f>IFERROR(__xludf.DUMMYFUNCTION("""COMPUTED_VALUE"""),"environmental material international menu")</f>
        <v>environmental material international menu</v>
      </c>
      <c r="B224" s="53" t="str">
        <f>IFERROR(__xludf.DUMMYFUNCTION("""COMPUTED_VALUE"""),"                    ")</f>
        <v>                    </v>
      </c>
      <c r="C224" s="29"/>
      <c r="D224" s="29" t="str">
        <f>IFERROR(__xludf.DUMMYFUNCTION("""COMPUTED_VALUE"""),"")</f>
        <v/>
      </c>
      <c r="E224" s="29"/>
      <c r="F224" s="29"/>
      <c r="G224" s="29"/>
      <c r="H224" s="29"/>
      <c r="I224" s="29"/>
      <c r="J224" s="29"/>
      <c r="K224" s="59" t="s">
        <v>27</v>
      </c>
      <c r="L224" s="34" t="str">
        <f>LEFT(A224, LEN(A224) - 5)
</f>
        <v>environmental material international</v>
      </c>
      <c r="M224" s="34" t="str">
        <f>VLOOKUP(L224,'Field Reference Guide'!$B$6:$N$220,13,false)</f>
        <v>#N/A</v>
      </c>
    </row>
    <row r="225" hidden="1">
      <c r="A225" s="29"/>
      <c r="B225" s="53" t="str">
        <f>IFERROR(__xludf.DUMMYFUNCTION("""COMPUTED_VALUE"""),"Animal carcass [FOODON:02010020]                    ")</f>
        <v>Animal carcass [FOODON:02010020]                    </v>
      </c>
      <c r="C225" s="29" t="str">
        <f>IFERROR(__xludf.DUMMYFUNCTION("""COMPUTED_VALUE"""),"FOODON:02010020")</f>
        <v>FOODON:02010020</v>
      </c>
      <c r="D225" s="29" t="str">
        <f>IFERROR(__xludf.DUMMYFUNCTION("""COMPUTED_VALUE"""),"A carcass of an animal that includes all anatomical parts. This includes a carcass with all organs and skin.")</f>
        <v>A carcass of an animal that includes all anatomical parts. This includes a carcass with all organs and skin.</v>
      </c>
      <c r="E225" s="29"/>
      <c r="F225" s="29"/>
      <c r="G225" s="29"/>
      <c r="H225" s="56" t="s">
        <v>19</v>
      </c>
      <c r="I225" s="56" t="s">
        <v>19</v>
      </c>
      <c r="J225" s="56" t="s">
        <v>19</v>
      </c>
      <c r="K225" s="55" t="str">
        <f t="shared" ref="K225:K233" si="11">K224</f>
        <v>International</v>
      </c>
      <c r="M225" s="57" t="s">
        <v>28</v>
      </c>
    </row>
    <row r="226" hidden="1">
      <c r="A226" s="29"/>
      <c r="B226" s="53" t="str">
        <f>IFERROR(__xludf.DUMMYFUNCTION("""COMPUTED_VALUE"""),"Bedding (Bed linen) [GSSO:005304]                    ")</f>
        <v>Bedding (Bed linen) [GSSO:005304]                    </v>
      </c>
      <c r="C226" s="29" t="str">
        <f>IFERROR(__xludf.DUMMYFUNCTION("""COMPUTED_VALUE"""),"GSSO:005304")</f>
        <v>GSSO:005304</v>
      </c>
      <c r="D226" s="29" t="str">
        <f>IFERROR(__xludf.DUMMYFUNCTION("""COMPUTED_VALUE"""),"Bedding is the removable and washable portion of a human sleeping environment.")</f>
        <v>Bedding is the removable and washable portion of a human sleeping environment.</v>
      </c>
      <c r="E226" s="29"/>
      <c r="F226" s="29"/>
      <c r="G226" s="29"/>
      <c r="H226" s="56" t="s">
        <v>19</v>
      </c>
      <c r="I226" s="56" t="s">
        <v>19</v>
      </c>
      <c r="J226" s="56" t="s">
        <v>19</v>
      </c>
      <c r="K226" s="55" t="str">
        <f t="shared" si="11"/>
        <v>International</v>
      </c>
      <c r="M226" s="40"/>
    </row>
    <row r="227" hidden="1">
      <c r="A227" s="29"/>
      <c r="B227" s="53" t="str">
        <f>IFERROR(__xludf.DUMMYFUNCTION("""COMPUTED_VALUE"""),"Clothing [GSSO:003405]                    ")</f>
        <v>Clothing [GSSO:003405]                    </v>
      </c>
      <c r="C227" s="29" t="str">
        <f>IFERROR(__xludf.DUMMYFUNCTION("""COMPUTED_VALUE"""),"GSSO:003405")</f>
        <v>GSSO:003405</v>
      </c>
      <c r="D227" s="29" t="str">
        <f>IFERROR(__xludf.DUMMYFUNCTION("""COMPUTED_VALUE"""),"Fabric or other material used to cover the body.")</f>
        <v>Fabric or other material used to cover the body.</v>
      </c>
      <c r="E227" s="29"/>
      <c r="F227" s="29"/>
      <c r="G227" s="29"/>
      <c r="H227" s="56" t="s">
        <v>19</v>
      </c>
      <c r="I227" s="56" t="s">
        <v>19</v>
      </c>
      <c r="J227" s="56" t="s">
        <v>19</v>
      </c>
      <c r="K227" s="55" t="str">
        <f t="shared" si="11"/>
        <v>International</v>
      </c>
      <c r="M227" s="40"/>
    </row>
    <row r="228" hidden="1">
      <c r="A228" s="29"/>
      <c r="B228" s="53" t="str">
        <f>IFERROR(__xludf.DUMMYFUNCTION("""COMPUTED_VALUE"""),"Drinkware                    ")</f>
        <v>Drinkware                    </v>
      </c>
      <c r="C228" s="29"/>
      <c r="D228" s="29" t="str">
        <f>IFERROR(__xludf.DUMMYFUNCTION("""COMPUTED_VALUE"""),"Utensils with an open top that are used to hold liquids for consumption.")</f>
        <v>Utensils with an open top that are used to hold liquids for consumption.</v>
      </c>
      <c r="E228" s="29"/>
      <c r="F228" s="29"/>
      <c r="G228" s="29"/>
      <c r="H228" s="56" t="s">
        <v>19</v>
      </c>
      <c r="I228" s="56" t="s">
        <v>19</v>
      </c>
      <c r="J228" s="56" t="s">
        <v>19</v>
      </c>
      <c r="K228" s="55" t="str">
        <f t="shared" si="11"/>
        <v>International</v>
      </c>
      <c r="M228" s="40"/>
    </row>
    <row r="229" hidden="1">
      <c r="A229" s="29"/>
      <c r="B229" s="53" t="str">
        <f>IFERROR(__xludf.DUMMYFUNCTION("""COMPUTED_VALUE"""),"     Cup [ENVO:03501330]               ")</f>
        <v>     Cup [ENVO:03501330]               </v>
      </c>
      <c r="C229" s="29" t="str">
        <f>IFERROR(__xludf.DUMMYFUNCTION("""COMPUTED_VALUE"""),"ENVO:03501330")</f>
        <v>ENVO:03501330</v>
      </c>
      <c r="D229" s="29" t="str">
        <f>IFERROR(__xludf.DUMMYFUNCTION("""COMPUTED_VALUE"""),"A utensil which is a hand-sized container with an open top. A cup may be used to hold liquids for pouring or drinking, or to store solids for pouring.")</f>
        <v>A utensil which is a hand-sized container with an open top. A cup may be used to hold liquids for pouring or drinking, or to store solids for pouring.</v>
      </c>
      <c r="E229" s="29"/>
      <c r="F229" s="29"/>
      <c r="G229" s="29"/>
      <c r="H229" s="30" t="s">
        <v>20</v>
      </c>
      <c r="I229" s="30" t="s">
        <v>20</v>
      </c>
      <c r="J229" s="30" t="s">
        <v>20</v>
      </c>
      <c r="K229" s="55" t="str">
        <f t="shared" si="11"/>
        <v>International</v>
      </c>
      <c r="M229" s="40"/>
    </row>
    <row r="230" hidden="1">
      <c r="A230" s="29"/>
      <c r="B230" s="53" t="str">
        <f>IFERROR(__xludf.DUMMYFUNCTION("""COMPUTED_VALUE"""),"Tableware                    ")</f>
        <v>Tableware                    </v>
      </c>
      <c r="C230" s="29"/>
      <c r="D230" s="29" t="str">
        <f>IFERROR(__xludf.DUMMYFUNCTION("""COMPUTED_VALUE"""),"Items used in setting a table and serving food and beverages. This includes various utensils, plates, bowls, cups, glasses, and serving dishes designed for dining and drinking.")</f>
        <v>Items used in setting a table and serving food and beverages. This includes various utensils, plates, bowls, cups, glasses, and serving dishes designed for dining and drinking.</v>
      </c>
      <c r="E230" s="29"/>
      <c r="F230" s="29"/>
      <c r="G230" s="29"/>
      <c r="H230" s="56" t="s">
        <v>19</v>
      </c>
      <c r="I230" s="56" t="s">
        <v>19</v>
      </c>
      <c r="J230" s="56" t="s">
        <v>19</v>
      </c>
      <c r="K230" s="55" t="str">
        <f t="shared" si="11"/>
        <v>International</v>
      </c>
      <c r="M230" s="40"/>
    </row>
    <row r="231" hidden="1">
      <c r="A231" s="29"/>
      <c r="B231" s="53" t="str">
        <f>IFERROR(__xludf.DUMMYFUNCTION("""COMPUTED_VALUE"""),"     Dish               ")</f>
        <v>     Dish               </v>
      </c>
      <c r="C231" s="29"/>
      <c r="D231" s="29" t="str">
        <f>IFERROR(__xludf.DUMMYFUNCTION("""COMPUTED_VALUE"""),"A flat, typically round or oval item used for holding or serving food. It can also refer to a specific type of plate, often used to describe the container itself, such as a ""plate dish"" which is used for placing and serving individual portions of food.")</f>
        <v>A flat, typically round or oval item used for holding or serving food. It can also refer to a specific type of plate, often used to describe the container itself, such as a "plate dish" which is used for placing and serving individual portions of food.</v>
      </c>
      <c r="E231" s="29"/>
      <c r="F231" s="29"/>
      <c r="G231" s="29"/>
      <c r="H231" s="56" t="s">
        <v>19</v>
      </c>
      <c r="I231" s="56" t="s">
        <v>19</v>
      </c>
      <c r="J231" s="56" t="s">
        <v>19</v>
      </c>
      <c r="K231" s="55" t="str">
        <f t="shared" si="11"/>
        <v>International</v>
      </c>
      <c r="M231" s="40"/>
    </row>
    <row r="232" hidden="1">
      <c r="A232" s="29"/>
      <c r="B232" s="53" t="str">
        <f>IFERROR(__xludf.DUMMYFUNCTION("""COMPUTED_VALUE"""),"     Eating utensil [ENVO:03501353]               ")</f>
        <v>     Eating utensil [ENVO:03501353]               </v>
      </c>
      <c r="C232" s="29" t="str">
        <f>IFERROR(__xludf.DUMMYFUNCTION("""COMPUTED_VALUE"""),"ENVO:03501353")</f>
        <v>ENVO:03501353</v>
      </c>
      <c r="D232" s="29" t="str">
        <f>IFERROR(__xludf.DUMMYFUNCTION("""COMPUTED_VALUE"""),"A utensil used for consuming food.")</f>
        <v>A utensil used for consuming food.</v>
      </c>
      <c r="E232" s="29"/>
      <c r="F232" s="29"/>
      <c r="G232" s="29"/>
      <c r="H232" s="30" t="s">
        <v>20</v>
      </c>
      <c r="I232" s="30" t="s">
        <v>20</v>
      </c>
      <c r="J232" s="30" t="s">
        <v>20</v>
      </c>
      <c r="K232" s="55" t="str">
        <f t="shared" si="11"/>
        <v>International</v>
      </c>
      <c r="M232" s="40"/>
    </row>
    <row r="233" hidden="1">
      <c r="A233" s="34"/>
      <c r="B233" s="53" t="str">
        <f>IFERROR(__xludf.DUMMYFUNCTION("""COMPUTED_VALUE"""),"                    ")</f>
        <v>                    </v>
      </c>
      <c r="C233" s="34"/>
      <c r="D233" s="29" t="str">
        <f>IFERROR(__xludf.DUMMYFUNCTION("""COMPUTED_VALUE"""),"")</f>
        <v/>
      </c>
      <c r="K233" s="55" t="str">
        <f t="shared" si="11"/>
        <v>International</v>
      </c>
      <c r="M233" s="58"/>
    </row>
    <row r="234">
      <c r="A234" s="34" t="str">
        <f>IFERROR(__xludf.DUMMYFUNCTION("""COMPUTED_VALUE"""),"collection method menu")</f>
        <v>collection method menu</v>
      </c>
      <c r="B234" s="53" t="str">
        <f>IFERROR(__xludf.DUMMYFUNCTION("""COMPUTED_VALUE"""),"                    ")</f>
        <v>                    </v>
      </c>
      <c r="C234" s="34"/>
      <c r="D234" s="29" t="str">
        <f>IFERROR(__xludf.DUMMYFUNCTION("""COMPUTED_VALUE"""),"")</f>
        <v/>
      </c>
      <c r="E234" s="34"/>
      <c r="F234" s="34"/>
      <c r="G234" s="34"/>
      <c r="H234" s="55"/>
      <c r="I234" s="55"/>
      <c r="J234" s="55"/>
      <c r="K234" s="55" t="s">
        <v>26</v>
      </c>
      <c r="L234" s="34" t="str">
        <f>LEFT(A234, LEN(A234) - 5)
</f>
        <v>collection method</v>
      </c>
      <c r="M234" s="34" t="str">
        <f>VLOOKUP(L234,'Field Reference Guide'!$B$6:$N$220,13,false)</f>
        <v>Mpox</v>
      </c>
    </row>
    <row r="235">
      <c r="A235" s="34"/>
      <c r="B235" s="53" t="str">
        <f>IFERROR(__xludf.DUMMYFUNCTION("""COMPUTED_VALUE"""),"Amniocentesis                    ")</f>
        <v>Amniocentesis                    </v>
      </c>
      <c r="C235" s="34" t="str">
        <f>IFERROR(__xludf.DUMMYFUNCTION("""COMPUTED_VALUE"""),"NCIT:C52009")</f>
        <v>NCIT:C52009</v>
      </c>
      <c r="D235"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H235" s="55" t="s">
        <v>19</v>
      </c>
      <c r="I235" s="55" t="s">
        <v>19</v>
      </c>
      <c r="J235" s="55" t="s">
        <v>19</v>
      </c>
      <c r="K235" s="55" t="str">
        <f t="shared" ref="K235:K255" si="12">K234</f>
        <v>Mpox</v>
      </c>
      <c r="M235" s="57" t="s">
        <v>26</v>
      </c>
    </row>
    <row r="236">
      <c r="A236" s="34"/>
      <c r="B236" s="53" t="str">
        <f>IFERROR(__xludf.DUMMYFUNCTION("""COMPUTED_VALUE"""),"Aspiration                    ")</f>
        <v>Aspiration                    </v>
      </c>
      <c r="C236" s="34" t="str">
        <f>IFERROR(__xludf.DUMMYFUNCTION("""COMPUTED_VALUE"""),"NCIT:C15631")</f>
        <v>NCIT:C15631</v>
      </c>
      <c r="D236" s="29" t="str">
        <f>IFERROR(__xludf.DUMMYFUNCTION("""COMPUTED_VALUE"""),"Inspiration of a foreign object into the airway.")</f>
        <v>Inspiration of a foreign object into the airway.</v>
      </c>
      <c r="H236" s="55" t="s">
        <v>19</v>
      </c>
      <c r="I236" s="55" t="s">
        <v>19</v>
      </c>
      <c r="J236" s="55" t="s">
        <v>19</v>
      </c>
      <c r="K236" s="55" t="str">
        <f t="shared" si="12"/>
        <v>Mpox</v>
      </c>
      <c r="M236" s="40"/>
    </row>
    <row r="237">
      <c r="A237" s="34"/>
      <c r="B237" s="53" t="str">
        <f>IFERROR(__xludf.DUMMYFUNCTION("""COMPUTED_VALUE"""),"     Suprapubic Aspiration               ")</f>
        <v>     Suprapubic Aspiration               </v>
      </c>
      <c r="C237" s="34" t="str">
        <f>IFERROR(__xludf.DUMMYFUNCTION("""COMPUTED_VALUE"""),"GENEPIO:0100028")</f>
        <v>GENEPIO:0100028</v>
      </c>
      <c r="D237"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H237" s="55" t="s">
        <v>19</v>
      </c>
      <c r="I237" s="55" t="s">
        <v>19</v>
      </c>
      <c r="J237" s="55" t="s">
        <v>19</v>
      </c>
      <c r="K237" s="55" t="str">
        <f t="shared" si="12"/>
        <v>Mpox</v>
      </c>
      <c r="M237" s="40"/>
    </row>
    <row r="238">
      <c r="A238" s="34"/>
      <c r="B238" s="53" t="str">
        <f>IFERROR(__xludf.DUMMYFUNCTION("""COMPUTED_VALUE"""),"     Tracheal aspiration               ")</f>
        <v>     Tracheal aspiration               </v>
      </c>
      <c r="C238" s="34" t="str">
        <f>IFERROR(__xludf.DUMMYFUNCTION("""COMPUTED_VALUE"""),"GENEPIO:0100029")</f>
        <v>GENEPIO:0100029</v>
      </c>
      <c r="D238" s="29" t="str">
        <f>IFERROR(__xludf.DUMMYFUNCTION("""COMPUTED_VALUE"""),"An aspiration process which collects tracheal secretions.")</f>
        <v>An aspiration process which collects tracheal secretions.</v>
      </c>
      <c r="H238" s="55" t="s">
        <v>19</v>
      </c>
      <c r="I238" s="55" t="s">
        <v>19</v>
      </c>
      <c r="J238" s="55" t="s">
        <v>19</v>
      </c>
      <c r="K238" s="55" t="str">
        <f t="shared" si="12"/>
        <v>Mpox</v>
      </c>
      <c r="M238" s="40"/>
    </row>
    <row r="239">
      <c r="A239" s="34"/>
      <c r="B239" s="53" t="str">
        <f>IFERROR(__xludf.DUMMYFUNCTION("""COMPUTED_VALUE"""),"     Vacuum Aspiration               ")</f>
        <v>     Vacuum Aspiration               </v>
      </c>
      <c r="C239" s="34" t="str">
        <f>IFERROR(__xludf.DUMMYFUNCTION("""COMPUTED_VALUE"""),"GENEPIO:0100030")</f>
        <v>GENEPIO:0100030</v>
      </c>
      <c r="D239" s="29" t="str">
        <f>IFERROR(__xludf.DUMMYFUNCTION("""COMPUTED_VALUE"""),"An aspiration process which uses a vacuum source to remove a sample.")</f>
        <v>An aspiration process which uses a vacuum source to remove a sample.</v>
      </c>
      <c r="H239" s="55" t="s">
        <v>19</v>
      </c>
      <c r="I239" s="55" t="s">
        <v>19</v>
      </c>
      <c r="J239" s="55" t="s">
        <v>19</v>
      </c>
      <c r="K239" s="55" t="str">
        <f t="shared" si="12"/>
        <v>Mpox</v>
      </c>
      <c r="M239" s="40"/>
    </row>
    <row r="240">
      <c r="A240" s="34"/>
      <c r="B240" s="53" t="str">
        <f>IFERROR(__xludf.DUMMYFUNCTION("""COMPUTED_VALUE"""),"Biopsy                    ")</f>
        <v>Biopsy                    </v>
      </c>
      <c r="C240" s="34" t="str">
        <f>IFERROR(__xludf.DUMMYFUNCTION("""COMPUTED_VALUE"""),"OBI:0002650")</f>
        <v>OBI:0002650</v>
      </c>
      <c r="D240"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H240" s="55" t="s">
        <v>19</v>
      </c>
      <c r="I240" s="55" t="s">
        <v>19</v>
      </c>
      <c r="J240" s="55" t="s">
        <v>19</v>
      </c>
      <c r="K240" s="55" t="str">
        <f t="shared" si="12"/>
        <v>Mpox</v>
      </c>
      <c r="M240" s="40"/>
    </row>
    <row r="241">
      <c r="A241" s="34"/>
      <c r="B241" s="53" t="str">
        <f>IFERROR(__xludf.DUMMYFUNCTION("""COMPUTED_VALUE"""),"     Needle Biopsy               ")</f>
        <v>     Needle Biopsy               </v>
      </c>
      <c r="C241" s="34" t="str">
        <f>IFERROR(__xludf.DUMMYFUNCTION("""COMPUTED_VALUE"""),"OBI:0002651")</f>
        <v>OBI:0002651</v>
      </c>
      <c r="D241" s="29" t="str">
        <f>IFERROR(__xludf.DUMMYFUNCTION("""COMPUTED_VALUE"""),"A biopsy that uses a hollow needle to extract cells.")</f>
        <v>A biopsy that uses a hollow needle to extract cells.</v>
      </c>
      <c r="H241" s="55" t="s">
        <v>19</v>
      </c>
      <c r="I241" s="55" t="s">
        <v>19</v>
      </c>
      <c r="J241" s="55" t="s">
        <v>19</v>
      </c>
      <c r="K241" s="55" t="str">
        <f t="shared" si="12"/>
        <v>Mpox</v>
      </c>
      <c r="M241" s="40"/>
    </row>
    <row r="242">
      <c r="A242" s="34"/>
      <c r="B242" s="53" t="str">
        <f>IFERROR(__xludf.DUMMYFUNCTION("""COMPUTED_VALUE"""),"Filtration                    ")</f>
        <v>Filtration                    </v>
      </c>
      <c r="C242" s="34" t="str">
        <f>IFERROR(__xludf.DUMMYFUNCTION("""COMPUTED_VALUE"""),"OBI:0302885")</f>
        <v>OBI:0302885</v>
      </c>
      <c r="D242"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H242" s="55" t="s">
        <v>19</v>
      </c>
      <c r="I242" s="55" t="s">
        <v>19</v>
      </c>
      <c r="J242" s="55" t="s">
        <v>19</v>
      </c>
      <c r="K242" s="55" t="str">
        <f t="shared" si="12"/>
        <v>Mpox</v>
      </c>
      <c r="M242" s="40"/>
    </row>
    <row r="243">
      <c r="A243" s="34"/>
      <c r="B243" s="53" t="str">
        <f>IFERROR(__xludf.DUMMYFUNCTION("""COMPUTED_VALUE"""),"     Air filtration               ")</f>
        <v>     Air filtration               </v>
      </c>
      <c r="C243" s="34" t="str">
        <f>IFERROR(__xludf.DUMMYFUNCTION("""COMPUTED_VALUE"""),"GENEPIO:0100031")</f>
        <v>GENEPIO:0100031</v>
      </c>
      <c r="D243" s="29" t="str">
        <f>IFERROR(__xludf.DUMMYFUNCTION("""COMPUTED_VALUE"""),"A filtration process which removes solid particulates from the air via an air filtration device.")</f>
        <v>A filtration process which removes solid particulates from the air via an air filtration device.</v>
      </c>
      <c r="H243" s="55" t="s">
        <v>19</v>
      </c>
      <c r="I243" s="55" t="s">
        <v>19</v>
      </c>
      <c r="J243" s="55" t="s">
        <v>19</v>
      </c>
      <c r="K243" s="55" t="str">
        <f t="shared" si="12"/>
        <v>Mpox</v>
      </c>
      <c r="M243" s="40"/>
    </row>
    <row r="244">
      <c r="A244" s="34"/>
      <c r="B244" s="53" t="str">
        <f>IFERROR(__xludf.DUMMYFUNCTION("""COMPUTED_VALUE"""),"Lavage                    ")</f>
        <v>Lavage                    </v>
      </c>
      <c r="C244" s="34" t="str">
        <f>IFERROR(__xludf.DUMMYFUNCTION("""COMPUTED_VALUE"""),"OBI:0600044")</f>
        <v>OBI:0600044</v>
      </c>
      <c r="D244"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H244" s="55" t="s">
        <v>19</v>
      </c>
      <c r="I244" s="55" t="s">
        <v>19</v>
      </c>
      <c r="J244" s="55" t="s">
        <v>19</v>
      </c>
      <c r="K244" s="55" t="str">
        <f t="shared" si="12"/>
        <v>Mpox</v>
      </c>
      <c r="M244" s="40"/>
    </row>
    <row r="245">
      <c r="A245" s="34"/>
      <c r="B245" s="53" t="str">
        <f>IFERROR(__xludf.DUMMYFUNCTION("""COMPUTED_VALUE"""),"     Bronchoalveolar lavage (BAL)               ")</f>
        <v>     Bronchoalveolar lavage (BAL)               </v>
      </c>
      <c r="C245" s="34" t="str">
        <f>IFERROR(__xludf.DUMMYFUNCTION("""COMPUTED_VALUE"""),"GENEPIO:0100032")</f>
        <v>GENEPIO:0100032</v>
      </c>
      <c r="D245" s="29" t="str">
        <f>IFERROR(__xludf.DUMMYFUNCTION("""COMPUTED_VALUE"""),"The collection of bronchoalveolar lavage fluid (BAL) from the lungs.")</f>
        <v>The collection of bronchoalveolar lavage fluid (BAL) from the lungs.</v>
      </c>
      <c r="H245" s="55" t="s">
        <v>19</v>
      </c>
      <c r="I245" s="55" t="s">
        <v>19</v>
      </c>
      <c r="J245" s="55" t="s">
        <v>19</v>
      </c>
      <c r="K245" s="55" t="str">
        <f t="shared" si="12"/>
        <v>Mpox</v>
      </c>
      <c r="M245" s="40"/>
    </row>
    <row r="246">
      <c r="A246" s="34"/>
      <c r="B246" s="53" t="str">
        <f>IFERROR(__xludf.DUMMYFUNCTION("""COMPUTED_VALUE"""),"     Gastric Lavage               ")</f>
        <v>     Gastric Lavage               </v>
      </c>
      <c r="C246" s="34" t="str">
        <f>IFERROR(__xludf.DUMMYFUNCTION("""COMPUTED_VALUE"""),"GENEPIO:0100033")</f>
        <v>GENEPIO:0100033</v>
      </c>
      <c r="D246"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H246" s="55" t="s">
        <v>19</v>
      </c>
      <c r="I246" s="55" t="s">
        <v>19</v>
      </c>
      <c r="J246" s="55" t="s">
        <v>19</v>
      </c>
      <c r="K246" s="55" t="str">
        <f t="shared" si="12"/>
        <v>Mpox</v>
      </c>
      <c r="M246" s="40"/>
    </row>
    <row r="247">
      <c r="A247" s="34"/>
      <c r="B247" s="53" t="str">
        <f>IFERROR(__xludf.DUMMYFUNCTION("""COMPUTED_VALUE"""),"Lumbar Puncture                    ")</f>
        <v>Lumbar Puncture                    </v>
      </c>
      <c r="C247" s="34" t="str">
        <f>IFERROR(__xludf.DUMMYFUNCTION("""COMPUTED_VALUE"""),"NCIT:C15327")</f>
        <v>NCIT:C15327</v>
      </c>
      <c r="D247"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H247" s="55" t="s">
        <v>19</v>
      </c>
      <c r="I247" s="55" t="s">
        <v>19</v>
      </c>
      <c r="J247" s="55" t="s">
        <v>19</v>
      </c>
      <c r="K247" s="55" t="str">
        <f t="shared" si="12"/>
        <v>Mpox</v>
      </c>
      <c r="M247" s="40"/>
    </row>
    <row r="248">
      <c r="A248" s="34"/>
      <c r="B248" s="53" t="str">
        <f>IFERROR(__xludf.DUMMYFUNCTION("""COMPUTED_VALUE"""),"Necropsy                    ")</f>
        <v>Necropsy                    </v>
      </c>
      <c r="C248" s="34" t="str">
        <f>IFERROR(__xludf.DUMMYFUNCTION("""COMPUTED_VALUE"""),"MMO:0000344")</f>
        <v>MMO:0000344</v>
      </c>
      <c r="D248"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H248" s="55" t="s">
        <v>19</v>
      </c>
      <c r="I248" s="55" t="s">
        <v>19</v>
      </c>
      <c r="J248" s="55" t="s">
        <v>19</v>
      </c>
      <c r="K248" s="55" t="str">
        <f t="shared" si="12"/>
        <v>Mpox</v>
      </c>
      <c r="M248" s="40"/>
    </row>
    <row r="249">
      <c r="A249" s="34"/>
      <c r="B249" s="53" t="str">
        <f>IFERROR(__xludf.DUMMYFUNCTION("""COMPUTED_VALUE"""),"Phlebotomy                    ")</f>
        <v>Phlebotomy                    </v>
      </c>
      <c r="C249" s="34" t="str">
        <f>IFERROR(__xludf.DUMMYFUNCTION("""COMPUTED_VALUE"""),"NCIT:C28221")</f>
        <v>NCIT:C28221</v>
      </c>
      <c r="D249" s="29" t="str">
        <f>IFERROR(__xludf.DUMMYFUNCTION("""COMPUTED_VALUE"""),"The collection of blood from a vein, most commonly via needle venipuncture.")</f>
        <v>The collection of blood from a vein, most commonly via needle venipuncture.</v>
      </c>
      <c r="H249" s="55" t="s">
        <v>19</v>
      </c>
      <c r="I249" s="55" t="s">
        <v>19</v>
      </c>
      <c r="J249" s="55" t="s">
        <v>19</v>
      </c>
      <c r="K249" s="55" t="str">
        <f t="shared" si="12"/>
        <v>Mpox</v>
      </c>
      <c r="M249" s="40"/>
    </row>
    <row r="250">
      <c r="A250" s="34"/>
      <c r="B250" s="53" t="str">
        <f>IFERROR(__xludf.DUMMYFUNCTION("""COMPUTED_VALUE"""),"Rinsing                    ")</f>
        <v>Rinsing                    </v>
      </c>
      <c r="C250" s="34" t="str">
        <f>IFERROR(__xludf.DUMMYFUNCTION("""COMPUTED_VALUE"""),"GENEPIO:0002116")</f>
        <v>GENEPIO:0002116</v>
      </c>
      <c r="D250"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H250" s="55" t="s">
        <v>19</v>
      </c>
      <c r="I250" s="55" t="s">
        <v>19</v>
      </c>
      <c r="J250" s="55" t="s">
        <v>19</v>
      </c>
      <c r="K250" s="55" t="str">
        <f t="shared" si="12"/>
        <v>Mpox</v>
      </c>
      <c r="M250" s="40"/>
    </row>
    <row r="251">
      <c r="A251" s="34"/>
      <c r="B251" s="53" t="str">
        <f>IFERROR(__xludf.DUMMYFUNCTION("""COMPUTED_VALUE"""),"     Saline gargle (mouth rinse and gargle)               ")</f>
        <v>     Saline gargle (mouth rinse and gargle)               </v>
      </c>
      <c r="C251" s="34" t="str">
        <f>IFERROR(__xludf.DUMMYFUNCTION("""COMPUTED_VALUE"""),"GENEPIO:0100034")</f>
        <v>GENEPIO:0100034</v>
      </c>
      <c r="D251"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H251" s="55" t="s">
        <v>19</v>
      </c>
      <c r="I251" s="55" t="s">
        <v>19</v>
      </c>
      <c r="J251" s="55" t="s">
        <v>19</v>
      </c>
      <c r="K251" s="55" t="str">
        <f t="shared" si="12"/>
        <v>Mpox</v>
      </c>
      <c r="M251" s="40"/>
    </row>
    <row r="252">
      <c r="A252" s="34"/>
      <c r="B252" s="53" t="str">
        <f>IFERROR(__xludf.DUMMYFUNCTION("""COMPUTED_VALUE"""),"Scraping                    ")</f>
        <v>Scraping                    </v>
      </c>
      <c r="C252" s="34" t="str">
        <f>IFERROR(__xludf.DUMMYFUNCTION("""COMPUTED_VALUE"""),"GENEPIO:0100035")</f>
        <v>GENEPIO:0100035</v>
      </c>
      <c r="D252"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H252" s="55" t="s">
        <v>19</v>
      </c>
      <c r="I252" s="55" t="s">
        <v>19</v>
      </c>
      <c r="J252" s="55" t="s">
        <v>19</v>
      </c>
      <c r="K252" s="55" t="str">
        <f t="shared" si="12"/>
        <v>Mpox</v>
      </c>
      <c r="M252" s="40"/>
    </row>
    <row r="253">
      <c r="A253" s="34"/>
      <c r="B253" s="53" t="str">
        <f>IFERROR(__xludf.DUMMYFUNCTION("""COMPUTED_VALUE"""),"Swabbing                    ")</f>
        <v>Swabbing                    </v>
      </c>
      <c r="C253" s="34" t="str">
        <f>IFERROR(__xludf.DUMMYFUNCTION("""COMPUTED_VALUE"""),"GENEPIO:0002117")</f>
        <v>GENEPIO:0002117</v>
      </c>
      <c r="D253" s="29" t="str">
        <f>IFERROR(__xludf.DUMMYFUNCTION("""COMPUTED_VALUE"""),"The process of collecting specimen material using a swab collection device.")</f>
        <v>The process of collecting specimen material using a swab collection device.</v>
      </c>
      <c r="H253" s="55" t="s">
        <v>19</v>
      </c>
      <c r="I253" s="55" t="s">
        <v>19</v>
      </c>
      <c r="J253" s="55" t="s">
        <v>19</v>
      </c>
      <c r="K253" s="55" t="str">
        <f t="shared" si="12"/>
        <v>Mpox</v>
      </c>
      <c r="M253" s="40"/>
    </row>
    <row r="254">
      <c r="A254" s="34"/>
      <c r="B254" s="53" t="str">
        <f>IFERROR(__xludf.DUMMYFUNCTION("""COMPUTED_VALUE"""),"     Finger Prick               ")</f>
        <v>     Finger Prick               </v>
      </c>
      <c r="C254" s="34" t="str">
        <f>IFERROR(__xludf.DUMMYFUNCTION("""COMPUTED_VALUE"""),"GENEPIO:0100036")</f>
        <v>GENEPIO:0100036</v>
      </c>
      <c r="D254"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H254" s="55" t="s">
        <v>19</v>
      </c>
      <c r="I254" s="55" t="s">
        <v>19</v>
      </c>
      <c r="J254" s="55" t="s">
        <v>19</v>
      </c>
      <c r="K254" s="55" t="str">
        <f t="shared" si="12"/>
        <v>Mpox</v>
      </c>
      <c r="M254" s="40"/>
    </row>
    <row r="255">
      <c r="A255" s="29"/>
      <c r="B255" s="53" t="str">
        <f>IFERROR(__xludf.DUMMYFUNCTION("""COMPUTED_VALUE"""),"Thoracentesis (chest tap)                    ")</f>
        <v>Thoracentesis (chest tap)                    </v>
      </c>
      <c r="C255" s="29" t="str">
        <f>IFERROR(__xludf.DUMMYFUNCTION("""COMPUTED_VALUE"""),"NCIT:C15392")</f>
        <v>NCIT:C15392</v>
      </c>
      <c r="D255" s="29" t="str">
        <f>IFERROR(__xludf.DUMMYFUNCTION("""COMPUTED_VALUE"""),"The removal of excess fluid via needle puncture from the thoracic cavity.")</f>
        <v>The removal of excess fluid via needle puncture from the thoracic cavity.</v>
      </c>
      <c r="E255" s="29"/>
      <c r="F255" s="29"/>
      <c r="G255" s="29"/>
      <c r="H255" s="55" t="s">
        <v>19</v>
      </c>
      <c r="I255" s="55" t="s">
        <v>19</v>
      </c>
      <c r="J255" s="55" t="s">
        <v>19</v>
      </c>
      <c r="K255" s="55" t="str">
        <f t="shared" si="12"/>
        <v>Mpox</v>
      </c>
      <c r="M255" s="40"/>
    </row>
    <row r="256" hidden="1">
      <c r="A256" s="29" t="str">
        <f>IFERROR(__xludf.DUMMYFUNCTION("""COMPUTED_VALUE"""),"collection method international menu")</f>
        <v>collection method international menu</v>
      </c>
      <c r="B256" s="53" t="str">
        <f>IFERROR(__xludf.DUMMYFUNCTION("""COMPUTED_VALUE"""),"                    ")</f>
        <v>                    </v>
      </c>
      <c r="C256" s="29"/>
      <c r="D256" s="29" t="str">
        <f>IFERROR(__xludf.DUMMYFUNCTION("""COMPUTED_VALUE"""),"")</f>
        <v/>
      </c>
      <c r="E256" s="29"/>
      <c r="F256" s="29"/>
      <c r="G256" s="29"/>
      <c r="H256" s="56"/>
      <c r="I256" s="56"/>
      <c r="J256" s="56"/>
      <c r="K256" s="59" t="s">
        <v>27</v>
      </c>
      <c r="L256" s="34" t="str">
        <f>LEFT(A256, LEN(A256) - 5)
</f>
        <v>collection method international</v>
      </c>
      <c r="M256" s="34" t="str">
        <f>VLOOKUP(L256,'Field Reference Guide'!$B$6:$N$220,13,false)</f>
        <v>#N/A</v>
      </c>
    </row>
    <row r="257" hidden="1">
      <c r="A257" s="29"/>
      <c r="B257" s="53" t="str">
        <f>IFERROR(__xludf.DUMMYFUNCTION("""COMPUTED_VALUE"""),"Amniocentesis [NCIT:C52009]                    ")</f>
        <v>Amniocentesis [NCIT:C52009]                    </v>
      </c>
      <c r="C257" s="29" t="str">
        <f>IFERROR(__xludf.DUMMYFUNCTION("""COMPUTED_VALUE"""),"NCIT:C52009")</f>
        <v>NCIT:C52009</v>
      </c>
      <c r="D257" s="29" t="str">
        <f>IFERROR(__xludf.DUMMYFUNCTION("""COMPUTED_VALUE"""),"A prenatal diagnostic procedure in which a small sample of amniotic fluid is removed from the uterus by a needle inserted into the abdomen. This procedure is used to detect various genetic abnormalities in the fetus and/or the sex of the fetus.")</f>
        <v>A prenatal diagnostic procedure in which a small sample of amniotic fluid is removed from the uterus by a needle inserted into the abdomen. This procedure is used to detect various genetic abnormalities in the fetus and/or the sex of the fetus.</v>
      </c>
      <c r="E257" s="29"/>
      <c r="F257" s="29"/>
      <c r="G257" s="29"/>
      <c r="H257" s="56" t="s">
        <v>19</v>
      </c>
      <c r="I257" s="56" t="s">
        <v>19</v>
      </c>
      <c r="J257" s="56" t="s">
        <v>19</v>
      </c>
      <c r="K257" s="55" t="str">
        <f t="shared" ref="K257:K278" si="13">K256</f>
        <v>International</v>
      </c>
      <c r="M257" s="57" t="s">
        <v>28</v>
      </c>
    </row>
    <row r="258" hidden="1">
      <c r="A258" s="29"/>
      <c r="B258" s="53" t="str">
        <f>IFERROR(__xludf.DUMMYFUNCTION("""COMPUTED_VALUE"""),"Aspiration [NCIT:C15631]                    ")</f>
        <v>Aspiration [NCIT:C15631]                    </v>
      </c>
      <c r="C258" s="29" t="str">
        <f>IFERROR(__xludf.DUMMYFUNCTION("""COMPUTED_VALUE"""),"NCIT:C15631")</f>
        <v>NCIT:C15631</v>
      </c>
      <c r="D258" s="29" t="str">
        <f>IFERROR(__xludf.DUMMYFUNCTION("""COMPUTED_VALUE"""),"Procedure using suction, usually with a thin needle and syringe, to remove bodily fluid or tissue.")</f>
        <v>Procedure using suction, usually with a thin needle and syringe, to remove bodily fluid or tissue.</v>
      </c>
      <c r="E258" s="29"/>
      <c r="F258" s="29"/>
      <c r="G258" s="29"/>
      <c r="H258" s="56" t="s">
        <v>19</v>
      </c>
      <c r="I258" s="56" t="s">
        <v>19</v>
      </c>
      <c r="J258" s="56" t="s">
        <v>19</v>
      </c>
      <c r="K258" s="55" t="str">
        <f t="shared" si="13"/>
        <v>International</v>
      </c>
      <c r="M258" s="40"/>
    </row>
    <row r="259" hidden="1">
      <c r="A259" s="29"/>
      <c r="B259" s="53" t="str">
        <f>IFERROR(__xludf.DUMMYFUNCTION("""COMPUTED_VALUE"""),"     Suprapubic Aspiration [GENEPIO:0100028]               ")</f>
        <v>     Suprapubic Aspiration [GENEPIO:0100028]               </v>
      </c>
      <c r="C259" s="29" t="str">
        <f>IFERROR(__xludf.DUMMYFUNCTION("""COMPUTED_VALUE"""),"GENEPIO:0100028")</f>
        <v>GENEPIO:0100028</v>
      </c>
      <c r="D259" s="29" t="str">
        <f>IFERROR(__xludf.DUMMYFUNCTION("""COMPUTED_VALUE"""),"An aspiration process which involves putting a needle through the skin just above the pubic bone into the bladder to take a urine sample.")</f>
        <v>An aspiration process which involves putting a needle through the skin just above the pubic bone into the bladder to take a urine sample.</v>
      </c>
      <c r="E259" s="29"/>
      <c r="F259" s="29"/>
      <c r="G259" s="29"/>
      <c r="H259" s="56" t="s">
        <v>19</v>
      </c>
      <c r="I259" s="56" t="s">
        <v>19</v>
      </c>
      <c r="J259" s="56" t="s">
        <v>19</v>
      </c>
      <c r="K259" s="55" t="str">
        <f t="shared" si="13"/>
        <v>International</v>
      </c>
      <c r="M259" s="40"/>
    </row>
    <row r="260" hidden="1">
      <c r="A260" s="29"/>
      <c r="B260" s="53" t="str">
        <f>IFERROR(__xludf.DUMMYFUNCTION("""COMPUTED_VALUE"""),"     Tracheal aspiration [GENEPIO:0100029]               ")</f>
        <v>     Tracheal aspiration [GENEPIO:0100029]               </v>
      </c>
      <c r="C260" s="29" t="str">
        <f>IFERROR(__xludf.DUMMYFUNCTION("""COMPUTED_VALUE"""),"GENEPIO:0100029")</f>
        <v>GENEPIO:0100029</v>
      </c>
      <c r="D260" s="29" t="str">
        <f>IFERROR(__xludf.DUMMYFUNCTION("""COMPUTED_VALUE"""),"An aspiration process which collects tracheal secretions.")</f>
        <v>An aspiration process which collects tracheal secretions.</v>
      </c>
      <c r="E260" s="29"/>
      <c r="F260" s="29"/>
      <c r="G260" s="29"/>
      <c r="H260" s="56" t="s">
        <v>19</v>
      </c>
      <c r="I260" s="56" t="s">
        <v>19</v>
      </c>
      <c r="J260" s="56" t="s">
        <v>19</v>
      </c>
      <c r="K260" s="55" t="str">
        <f t="shared" si="13"/>
        <v>International</v>
      </c>
      <c r="M260" s="40"/>
    </row>
    <row r="261" hidden="1">
      <c r="A261" s="29"/>
      <c r="B261" s="53" t="str">
        <f>IFERROR(__xludf.DUMMYFUNCTION("""COMPUTED_VALUE"""),"     Vacuum Aspiration [GENEPIO:0100030]               ")</f>
        <v>     Vacuum Aspiration [GENEPIO:0100030]               </v>
      </c>
      <c r="C261" s="29" t="str">
        <f>IFERROR(__xludf.DUMMYFUNCTION("""COMPUTED_VALUE"""),"GENEPIO:0100030")</f>
        <v>GENEPIO:0100030</v>
      </c>
      <c r="D261" s="29" t="str">
        <f>IFERROR(__xludf.DUMMYFUNCTION("""COMPUTED_VALUE"""),"An aspiration process which uses a vacuum source to remove a sample.")</f>
        <v>An aspiration process which uses a vacuum source to remove a sample.</v>
      </c>
      <c r="E261" s="29"/>
      <c r="F261" s="29"/>
      <c r="G261" s="29"/>
      <c r="H261" s="56" t="s">
        <v>19</v>
      </c>
      <c r="I261" s="56" t="s">
        <v>19</v>
      </c>
      <c r="J261" s="56" t="s">
        <v>19</v>
      </c>
      <c r="K261" s="55" t="str">
        <f t="shared" si="13"/>
        <v>International</v>
      </c>
      <c r="M261" s="40"/>
    </row>
    <row r="262" hidden="1">
      <c r="A262" s="29"/>
      <c r="B262" s="53" t="str">
        <f>IFERROR(__xludf.DUMMYFUNCTION("""COMPUTED_VALUE"""),"Biopsy [OBI:0002650]                    ")</f>
        <v>Biopsy [OBI:0002650]                    </v>
      </c>
      <c r="C262" s="29" t="str">
        <f>IFERROR(__xludf.DUMMYFUNCTION("""COMPUTED_VALUE"""),"OBI:0002650")</f>
        <v>OBI:0002650</v>
      </c>
      <c r="D262" s="29" t="str">
        <f>IFERROR(__xludf.DUMMYFUNCTION("""COMPUTED_VALUE"""),"A specimen collection that obtains a sample of tissue or cell from a living multicellular organism body for diagnostic purposes by means intended to be minimally invasive.")</f>
        <v>A specimen collection that obtains a sample of tissue or cell from a living multicellular organism body for diagnostic purposes by means intended to be minimally invasive.</v>
      </c>
      <c r="E262" s="29"/>
      <c r="F262" s="29"/>
      <c r="G262" s="29"/>
      <c r="H262" s="56" t="s">
        <v>19</v>
      </c>
      <c r="I262" s="56" t="s">
        <v>19</v>
      </c>
      <c r="J262" s="56" t="s">
        <v>19</v>
      </c>
      <c r="K262" s="55" t="str">
        <f t="shared" si="13"/>
        <v>International</v>
      </c>
      <c r="M262" s="40"/>
    </row>
    <row r="263" hidden="1">
      <c r="A263" s="29"/>
      <c r="B263" s="53" t="str">
        <f>IFERROR(__xludf.DUMMYFUNCTION("""COMPUTED_VALUE"""),"     Needle Biopsy [OBI:0002651]               ")</f>
        <v>     Needle Biopsy [OBI:0002651]               </v>
      </c>
      <c r="C263" s="29" t="str">
        <f>IFERROR(__xludf.DUMMYFUNCTION("""COMPUTED_VALUE"""),"OBI:0002651")</f>
        <v>OBI:0002651</v>
      </c>
      <c r="D263" s="29" t="str">
        <f>IFERROR(__xludf.DUMMYFUNCTION("""COMPUTED_VALUE"""),"A biopsy that uses a hollow needle to extract cells.")</f>
        <v>A biopsy that uses a hollow needle to extract cells.</v>
      </c>
      <c r="E263" s="29"/>
      <c r="F263" s="29"/>
      <c r="G263" s="29"/>
      <c r="H263" s="56" t="s">
        <v>19</v>
      </c>
      <c r="I263" s="56" t="s">
        <v>19</v>
      </c>
      <c r="J263" s="56" t="s">
        <v>19</v>
      </c>
      <c r="K263" s="55" t="str">
        <f t="shared" si="13"/>
        <v>International</v>
      </c>
      <c r="M263" s="40"/>
    </row>
    <row r="264" hidden="1">
      <c r="A264" s="29"/>
      <c r="B264" s="53" t="str">
        <f>IFERROR(__xludf.DUMMYFUNCTION("""COMPUTED_VALUE"""),"Filtration [OBI:0302885]                    ")</f>
        <v>Filtration [OBI:0302885]                    </v>
      </c>
      <c r="C264" s="29" t="str">
        <f>IFERROR(__xludf.DUMMYFUNCTION("""COMPUTED_VALUE"""),"OBI:0302885")</f>
        <v>OBI:0302885</v>
      </c>
      <c r="D264" s="29" t="str">
        <f>IFERROR(__xludf.DUMMYFUNCTION("""COMPUTED_VALUE"""),"Filtration is a process which separates components suspended in a fluid based on granularity properties relying on a filter device.")</f>
        <v>Filtration is a process which separates components suspended in a fluid based on granularity properties relying on a filter device.</v>
      </c>
      <c r="E264" s="29"/>
      <c r="F264" s="29"/>
      <c r="G264" s="29"/>
      <c r="H264" s="56" t="s">
        <v>19</v>
      </c>
      <c r="I264" s="56" t="s">
        <v>19</v>
      </c>
      <c r="J264" s="56" t="s">
        <v>19</v>
      </c>
      <c r="K264" s="55" t="str">
        <f t="shared" si="13"/>
        <v>International</v>
      </c>
      <c r="M264" s="40"/>
    </row>
    <row r="265" hidden="1">
      <c r="A265" s="29"/>
      <c r="B265" s="53" t="str">
        <f>IFERROR(__xludf.DUMMYFUNCTION("""COMPUTED_VALUE"""),"     Air filtration [GENEPIO:0100031]               ")</f>
        <v>     Air filtration [GENEPIO:0100031]               </v>
      </c>
      <c r="C265" s="29" t="str">
        <f>IFERROR(__xludf.DUMMYFUNCTION("""COMPUTED_VALUE"""),"GENEPIO:0100031")</f>
        <v>GENEPIO:0100031</v>
      </c>
      <c r="D265" s="29" t="str">
        <f>IFERROR(__xludf.DUMMYFUNCTION("""COMPUTED_VALUE"""),"A filtration process which removes solid particulates from the air via an air filtration device.")</f>
        <v>A filtration process which removes solid particulates from the air via an air filtration device.</v>
      </c>
      <c r="E265" s="29"/>
      <c r="F265" s="29"/>
      <c r="G265" s="29"/>
      <c r="H265" s="56" t="s">
        <v>19</v>
      </c>
      <c r="I265" s="56" t="s">
        <v>19</v>
      </c>
      <c r="J265" s="56" t="s">
        <v>19</v>
      </c>
      <c r="K265" s="55" t="str">
        <f t="shared" si="13"/>
        <v>International</v>
      </c>
      <c r="M265" s="40"/>
    </row>
    <row r="266" hidden="1">
      <c r="A266" s="29"/>
      <c r="B266" s="53" t="str">
        <f>IFERROR(__xludf.DUMMYFUNCTION("""COMPUTED_VALUE"""),"Lavage [OBI:0600044]                    ")</f>
        <v>Lavage [OBI:0600044]                    </v>
      </c>
      <c r="C266" s="29" t="str">
        <f>IFERROR(__xludf.DUMMYFUNCTION("""COMPUTED_VALUE"""),"OBI:0600044")</f>
        <v>OBI:0600044</v>
      </c>
      <c r="D266" s="29" t="str">
        <f>IFERROR(__xludf.DUMMYFUNCTION("""COMPUTED_VALUE"""),"A protocol application to separate cells and/or cellular secretions from an anatomical space by the introduction and removal of fluid.")</f>
        <v>A protocol application to separate cells and/or cellular secretions from an anatomical space by the introduction and removal of fluid.</v>
      </c>
      <c r="E266" s="29"/>
      <c r="F266" s="29"/>
      <c r="G266" s="29"/>
      <c r="H266" s="56" t="s">
        <v>19</v>
      </c>
      <c r="I266" s="56" t="s">
        <v>19</v>
      </c>
      <c r="J266" s="56" t="s">
        <v>19</v>
      </c>
      <c r="K266" s="55" t="str">
        <f t="shared" si="13"/>
        <v>International</v>
      </c>
      <c r="M266" s="40"/>
    </row>
    <row r="267" hidden="1">
      <c r="A267" s="29"/>
      <c r="B267" s="53" t="str">
        <f>IFERROR(__xludf.DUMMYFUNCTION("""COMPUTED_VALUE"""),"     Bronchoalveolar lavage (BAL) [GENEPIO:0100032]               ")</f>
        <v>     Bronchoalveolar lavage (BAL) [GENEPIO:0100032]               </v>
      </c>
      <c r="C267" s="29" t="str">
        <f>IFERROR(__xludf.DUMMYFUNCTION("""COMPUTED_VALUE"""),"GENEPIO:0100032")</f>
        <v>GENEPIO:0100032</v>
      </c>
      <c r="D267" s="29" t="str">
        <f>IFERROR(__xludf.DUMMYFUNCTION("""COMPUTED_VALUE"""),"The collection of bronchoalveolar lavage fluid (BAL) from the lungs.")</f>
        <v>The collection of bronchoalveolar lavage fluid (BAL) from the lungs.</v>
      </c>
      <c r="E267" s="29"/>
      <c r="F267" s="29"/>
      <c r="G267" s="29"/>
      <c r="H267" s="56" t="s">
        <v>19</v>
      </c>
      <c r="I267" s="56" t="s">
        <v>19</v>
      </c>
      <c r="J267" s="56" t="s">
        <v>19</v>
      </c>
      <c r="K267" s="55" t="str">
        <f t="shared" si="13"/>
        <v>International</v>
      </c>
      <c r="M267" s="40"/>
    </row>
    <row r="268" hidden="1">
      <c r="A268" s="29"/>
      <c r="B268" s="53" t="str">
        <f>IFERROR(__xludf.DUMMYFUNCTION("""COMPUTED_VALUE"""),"     Gastric Lavage [GENEPIO:0100033]               ")</f>
        <v>     Gastric Lavage [GENEPIO:0100033]               </v>
      </c>
      <c r="C268" s="29" t="str">
        <f>IFERROR(__xludf.DUMMYFUNCTION("""COMPUTED_VALUE"""),"GENEPIO:0100033")</f>
        <v>GENEPIO:0100033</v>
      </c>
      <c r="D268" s="29" t="str">
        <f>IFERROR(__xludf.DUMMYFUNCTION("""COMPUTED_VALUE"""),"The administration and evacuation of small volumes of liquid through an orogastric tube to remove toxic substances within the stomach.")</f>
        <v>The administration and evacuation of small volumes of liquid through an orogastric tube to remove toxic substances within the stomach.</v>
      </c>
      <c r="E268" s="29"/>
      <c r="F268" s="29"/>
      <c r="G268" s="29"/>
      <c r="H268" s="56" t="s">
        <v>19</v>
      </c>
      <c r="I268" s="56" t="s">
        <v>19</v>
      </c>
      <c r="J268" s="56" t="s">
        <v>19</v>
      </c>
      <c r="K268" s="55" t="str">
        <f t="shared" si="13"/>
        <v>International</v>
      </c>
      <c r="M268" s="40"/>
    </row>
    <row r="269" hidden="1">
      <c r="A269" s="29"/>
      <c r="B269" s="53" t="str">
        <f>IFERROR(__xludf.DUMMYFUNCTION("""COMPUTED_VALUE"""),"Lumbar Puncture [NCIT:C15327]                    ")</f>
        <v>Lumbar Puncture [NCIT:C15327]                    </v>
      </c>
      <c r="C269" s="29" t="str">
        <f>IFERROR(__xludf.DUMMYFUNCTION("""COMPUTED_VALUE"""),"NCIT:C15327")</f>
        <v>NCIT:C15327</v>
      </c>
      <c r="D269" s="29" t="str">
        <f>IFERROR(__xludf.DUMMYFUNCTION("""COMPUTED_VALUE"""),"An invasive procedure in which a hollow needle is introduced through an intervertebral space in the lower back to access the subarachnoid space in order to sample cerebrospinal fluid or to administer medication.")</f>
        <v>An invasive procedure in which a hollow needle is introduced through an intervertebral space in the lower back to access the subarachnoid space in order to sample cerebrospinal fluid or to administer medication.</v>
      </c>
      <c r="E269" s="29"/>
      <c r="F269" s="29"/>
      <c r="G269" s="29"/>
      <c r="H269" s="56" t="s">
        <v>19</v>
      </c>
      <c r="I269" s="56" t="s">
        <v>19</v>
      </c>
      <c r="J269" s="56" t="s">
        <v>19</v>
      </c>
      <c r="K269" s="55" t="str">
        <f t="shared" si="13"/>
        <v>International</v>
      </c>
      <c r="M269" s="40"/>
    </row>
    <row r="270" hidden="1">
      <c r="A270" s="29"/>
      <c r="B270" s="53" t="str">
        <f>IFERROR(__xludf.DUMMYFUNCTION("""COMPUTED_VALUE"""),"Necropsy [MMO:0000344]                    ")</f>
        <v>Necropsy [MMO:0000344]                    </v>
      </c>
      <c r="C270" s="29" t="str">
        <f>IFERROR(__xludf.DUMMYFUNCTION("""COMPUTED_VALUE"""),"MMO:0000344")</f>
        <v>MMO:0000344</v>
      </c>
      <c r="D270" s="29" t="str">
        <f>IFERROR(__xludf.DUMMYFUNCTION("""COMPUTED_VALUE"""),"A postmortem examination of the body of an animal to determine the cause of death or the character and extent of changes produced by disease.")</f>
        <v>A postmortem examination of the body of an animal to determine the cause of death or the character and extent of changes produced by disease.</v>
      </c>
      <c r="E270" s="29"/>
      <c r="F270" s="29"/>
      <c r="G270" s="29"/>
      <c r="H270" s="56" t="s">
        <v>19</v>
      </c>
      <c r="I270" s="56" t="s">
        <v>19</v>
      </c>
      <c r="J270" s="56" t="s">
        <v>19</v>
      </c>
      <c r="K270" s="55" t="str">
        <f t="shared" si="13"/>
        <v>International</v>
      </c>
      <c r="M270" s="40"/>
    </row>
    <row r="271" hidden="1">
      <c r="A271" s="29"/>
      <c r="B271" s="53" t="str">
        <f>IFERROR(__xludf.DUMMYFUNCTION("""COMPUTED_VALUE"""),"Phlebotomy [NCIT:C28221]                    ")</f>
        <v>Phlebotomy [NCIT:C28221]                    </v>
      </c>
      <c r="C271" s="29" t="str">
        <f>IFERROR(__xludf.DUMMYFUNCTION("""COMPUTED_VALUE"""),"NCIT:C28221")</f>
        <v>NCIT:C28221</v>
      </c>
      <c r="D271" s="29" t="str">
        <f>IFERROR(__xludf.DUMMYFUNCTION("""COMPUTED_VALUE"""),"The collection of blood from a vein, most commonly via needle venipuncture.")</f>
        <v>The collection of blood from a vein, most commonly via needle venipuncture.</v>
      </c>
      <c r="E271" s="29"/>
      <c r="F271" s="29"/>
      <c r="G271" s="29"/>
      <c r="H271" s="56" t="s">
        <v>19</v>
      </c>
      <c r="I271" s="56" t="s">
        <v>19</v>
      </c>
      <c r="J271" s="56" t="s">
        <v>19</v>
      </c>
      <c r="K271" s="55" t="str">
        <f t="shared" si="13"/>
        <v>International</v>
      </c>
      <c r="M271" s="40"/>
    </row>
    <row r="272" hidden="1">
      <c r="A272" s="29"/>
      <c r="B272" s="53" t="str">
        <f>IFERROR(__xludf.DUMMYFUNCTION("""COMPUTED_VALUE"""),"Rinsing [GENEPIO:0002116]                    ")</f>
        <v>Rinsing [GENEPIO:0002116]                    </v>
      </c>
      <c r="C272" s="29" t="str">
        <f>IFERROR(__xludf.DUMMYFUNCTION("""COMPUTED_VALUE"""),"GENEPIO:0002116")</f>
        <v>GENEPIO:0002116</v>
      </c>
      <c r="D272" s="29" t="str">
        <f>IFERROR(__xludf.DUMMYFUNCTION("""COMPUTED_VALUE"""),"The process of removal and collection of specimen material from the surface of an entity by washing, or a similar application of fluids.")</f>
        <v>The process of removal and collection of specimen material from the surface of an entity by washing, or a similar application of fluids.</v>
      </c>
      <c r="E272" s="29"/>
      <c r="F272" s="29"/>
      <c r="G272" s="29"/>
      <c r="H272" s="56" t="s">
        <v>19</v>
      </c>
      <c r="I272" s="56" t="s">
        <v>19</v>
      </c>
      <c r="J272" s="56" t="s">
        <v>19</v>
      </c>
      <c r="K272" s="55" t="str">
        <f t="shared" si="13"/>
        <v>International</v>
      </c>
      <c r="M272" s="40"/>
    </row>
    <row r="273" hidden="1">
      <c r="A273" s="29"/>
      <c r="B273" s="53" t="str">
        <f>IFERROR(__xludf.DUMMYFUNCTION("""COMPUTED_VALUE"""),"     Saline gargle (mouth rinse and gargle) [GENEPIO:0100034]               ")</f>
        <v>     Saline gargle (mouth rinse and gargle) [GENEPIO:0100034]               </v>
      </c>
      <c r="C273" s="29" t="str">
        <f>IFERROR(__xludf.DUMMYFUNCTION("""COMPUTED_VALUE"""),"GENEPIO:0100034")</f>
        <v>GENEPIO:0100034</v>
      </c>
      <c r="D273" s="29" t="str">
        <f>IFERROR(__xludf.DUMMYFUNCTION("""COMPUTED_VALUE"""),"A collecting specimen from organism process in which a salt water solution is taken into the oral cavity, rinsed around, and gargled before being deposited into an external collection device.")</f>
        <v>A collecting specimen from organism process in which a salt water solution is taken into the oral cavity, rinsed around, and gargled before being deposited into an external collection device.</v>
      </c>
      <c r="E273" s="29"/>
      <c r="F273" s="29"/>
      <c r="G273" s="29"/>
      <c r="H273" s="56" t="s">
        <v>19</v>
      </c>
      <c r="I273" s="56" t="s">
        <v>19</v>
      </c>
      <c r="J273" s="56" t="s">
        <v>19</v>
      </c>
      <c r="K273" s="55" t="str">
        <f t="shared" si="13"/>
        <v>International</v>
      </c>
      <c r="M273" s="40"/>
    </row>
    <row r="274" hidden="1">
      <c r="A274" s="29"/>
      <c r="B274" s="53" t="str">
        <f>IFERROR(__xludf.DUMMYFUNCTION("""COMPUTED_VALUE"""),"Scraping [GENEPIO:0100035]                    ")</f>
        <v>Scraping [GENEPIO:0100035]                    </v>
      </c>
      <c r="C274" s="29" t="str">
        <f>IFERROR(__xludf.DUMMYFUNCTION("""COMPUTED_VALUE"""),"GENEPIO:0100035")</f>
        <v>GENEPIO:0100035</v>
      </c>
      <c r="D274" s="29" t="str">
        <f>IFERROR(__xludf.DUMMYFUNCTION("""COMPUTED_VALUE"""),"A specimen collection process in which a sample is collected by scraping a surface with a sterile sampling device.")</f>
        <v>A specimen collection process in which a sample is collected by scraping a surface with a sterile sampling device.</v>
      </c>
      <c r="E274" s="29"/>
      <c r="F274" s="29"/>
      <c r="G274" s="29"/>
      <c r="H274" s="56" t="s">
        <v>19</v>
      </c>
      <c r="I274" s="56" t="s">
        <v>19</v>
      </c>
      <c r="J274" s="56" t="s">
        <v>19</v>
      </c>
      <c r="K274" s="55" t="str">
        <f t="shared" si="13"/>
        <v>International</v>
      </c>
      <c r="M274" s="40"/>
    </row>
    <row r="275" hidden="1">
      <c r="A275" s="29"/>
      <c r="B275" s="53" t="str">
        <f>IFERROR(__xludf.DUMMYFUNCTION("""COMPUTED_VALUE"""),"Swabbing [GENEPIO:0002117]                    ")</f>
        <v>Swabbing [GENEPIO:0002117]                    </v>
      </c>
      <c r="C275" s="29" t="str">
        <f>IFERROR(__xludf.DUMMYFUNCTION("""COMPUTED_VALUE"""),"GENEPIO:0002117")</f>
        <v>GENEPIO:0002117</v>
      </c>
      <c r="D275" s="29" t="str">
        <f>IFERROR(__xludf.DUMMYFUNCTION("""COMPUTED_VALUE"""),"The process of collecting specimen material using a swab collection device.")</f>
        <v>The process of collecting specimen material using a swab collection device.</v>
      </c>
      <c r="E275" s="29"/>
      <c r="F275" s="29"/>
      <c r="G275" s="29"/>
      <c r="H275" s="56" t="s">
        <v>19</v>
      </c>
      <c r="I275" s="56" t="s">
        <v>19</v>
      </c>
      <c r="J275" s="56" t="s">
        <v>19</v>
      </c>
      <c r="K275" s="55" t="str">
        <f t="shared" si="13"/>
        <v>International</v>
      </c>
      <c r="M275" s="40"/>
    </row>
    <row r="276" hidden="1">
      <c r="A276" s="29"/>
      <c r="B276" s="53" t="str">
        <f>IFERROR(__xludf.DUMMYFUNCTION("""COMPUTED_VALUE"""),"     Finger Prick [GENEPIO:0100036]               ")</f>
        <v>     Finger Prick [GENEPIO:0100036]               </v>
      </c>
      <c r="C276" s="29" t="str">
        <f>IFERROR(__xludf.DUMMYFUNCTION("""COMPUTED_VALUE"""),"GENEPIO:0100036")</f>
        <v>GENEPIO:0100036</v>
      </c>
      <c r="D276" s="29" t="str">
        <f>IFERROR(__xludf.DUMMYFUNCTION("""COMPUTED_VALUE"""),"A collecting specimen from organism process in which a skin site free of surface arterial flow is pierced with a sterile lancet, after a capillary blood droplet is formed a sample is captured in a capillary tupe.")</f>
        <v>A collecting specimen from organism process in which a skin site free of surface arterial flow is pierced with a sterile lancet, after a capillary blood droplet is formed a sample is captured in a capillary tupe.</v>
      </c>
      <c r="E276" s="29"/>
      <c r="F276" s="29"/>
      <c r="G276" s="29"/>
      <c r="H276" s="56" t="s">
        <v>19</v>
      </c>
      <c r="I276" s="56" t="s">
        <v>19</v>
      </c>
      <c r="J276" s="56" t="s">
        <v>19</v>
      </c>
      <c r="K276" s="55" t="str">
        <f t="shared" si="13"/>
        <v>International</v>
      </c>
      <c r="M276" s="40"/>
    </row>
    <row r="277" hidden="1">
      <c r="A277" s="29"/>
      <c r="B277" s="53" t="str">
        <f>IFERROR(__xludf.DUMMYFUNCTION("""COMPUTED_VALUE"""),"Thoracentesis (chest tap) [NCIT:C15392]                    ")</f>
        <v>Thoracentesis (chest tap) [NCIT:C15392]                    </v>
      </c>
      <c r="C277" s="29" t="str">
        <f>IFERROR(__xludf.DUMMYFUNCTION("""COMPUTED_VALUE"""),"NCIT:C15392")</f>
        <v>NCIT:C15392</v>
      </c>
      <c r="D277" s="29" t="str">
        <f>IFERROR(__xludf.DUMMYFUNCTION("""COMPUTED_VALUE"""),"The removal of excess fluid via needle puncture from the thoracic cavity.")</f>
        <v>The removal of excess fluid via needle puncture from the thoracic cavity.</v>
      </c>
      <c r="E277" s="29"/>
      <c r="F277" s="29"/>
      <c r="G277" s="29"/>
      <c r="H277" s="56" t="s">
        <v>19</v>
      </c>
      <c r="I277" s="56" t="s">
        <v>19</v>
      </c>
      <c r="J277" s="56" t="s">
        <v>19</v>
      </c>
      <c r="K277" s="55" t="str">
        <f t="shared" si="13"/>
        <v>International</v>
      </c>
      <c r="M277" s="40"/>
    </row>
    <row r="278" hidden="1">
      <c r="A278" s="34"/>
      <c r="B278" s="53" t="str">
        <f>IFERROR(__xludf.DUMMYFUNCTION("""COMPUTED_VALUE"""),"                    ")</f>
        <v>                    </v>
      </c>
      <c r="C278" s="34"/>
      <c r="D278" s="29" t="str">
        <f>IFERROR(__xludf.DUMMYFUNCTION("""COMPUTED_VALUE"""),"")</f>
        <v/>
      </c>
      <c r="K278" s="55" t="str">
        <f t="shared" si="13"/>
        <v>International</v>
      </c>
      <c r="M278" s="58"/>
    </row>
    <row r="279">
      <c r="A279" s="34" t="str">
        <f>IFERROR(__xludf.DUMMYFUNCTION("""COMPUTED_VALUE"""),"collection device menu")</f>
        <v>collection device menu</v>
      </c>
      <c r="B279" s="53" t="str">
        <f>IFERROR(__xludf.DUMMYFUNCTION("""COMPUTED_VALUE"""),"                    ")</f>
        <v>                    </v>
      </c>
      <c r="C279" s="34"/>
      <c r="D279" s="29" t="str">
        <f>IFERROR(__xludf.DUMMYFUNCTION("""COMPUTED_VALUE"""),"")</f>
        <v/>
      </c>
      <c r="E279" s="34"/>
      <c r="F279" s="34"/>
      <c r="G279" s="34"/>
      <c r="H279" s="55"/>
      <c r="I279" s="55"/>
      <c r="J279" s="55"/>
      <c r="K279" s="55" t="s">
        <v>26</v>
      </c>
      <c r="L279" s="34" t="str">
        <f>LEFT(A279, LEN(A279) - 5)
</f>
        <v>collection device</v>
      </c>
      <c r="M279" s="34" t="str">
        <f>VLOOKUP(L279,'Field Reference Guide'!$B$6:$N$220,13,false)</f>
        <v>Mpox</v>
      </c>
    </row>
    <row r="280">
      <c r="A280" s="34"/>
      <c r="B280" s="53" t="str">
        <f>IFERROR(__xludf.DUMMYFUNCTION("""COMPUTED_VALUE"""),"Blood Collection Tube                    ")</f>
        <v>Blood Collection Tube                    </v>
      </c>
      <c r="C280" s="34" t="str">
        <f>IFERROR(__xludf.DUMMYFUNCTION("""COMPUTED_VALUE"""),"OBI:0002859")</f>
        <v>OBI:0002859</v>
      </c>
      <c r="D280"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H280" s="55" t="s">
        <v>19</v>
      </c>
      <c r="I280" s="55" t="s">
        <v>19</v>
      </c>
      <c r="J280" s="55" t="s">
        <v>19</v>
      </c>
      <c r="K280" s="55" t="str">
        <f t="shared" ref="K280:K294" si="14">K279</f>
        <v>Mpox</v>
      </c>
      <c r="M280" s="57" t="s">
        <v>26</v>
      </c>
    </row>
    <row r="281">
      <c r="A281" s="34"/>
      <c r="B281" s="53" t="str">
        <f>IFERROR(__xludf.DUMMYFUNCTION("""COMPUTED_VALUE"""),"Bronchoscope                    ")</f>
        <v>Bronchoscope                    </v>
      </c>
      <c r="C281" s="34" t="str">
        <f>IFERROR(__xludf.DUMMYFUNCTION("""COMPUTED_VALUE"""),"OBI:0002826")</f>
        <v>OBI:0002826</v>
      </c>
      <c r="D281" s="29" t="str">
        <f>IFERROR(__xludf.DUMMYFUNCTION("""COMPUTED_VALUE"""),"A device which is a thin, tube-like instrument which includes a light and a lens used to examine a lung.")</f>
        <v>A device which is a thin, tube-like instrument which includes a light and a lens used to examine a lung.</v>
      </c>
      <c r="H281" s="55" t="s">
        <v>19</v>
      </c>
      <c r="I281" s="55" t="s">
        <v>19</v>
      </c>
      <c r="J281" s="55" t="s">
        <v>19</v>
      </c>
      <c r="K281" s="55" t="str">
        <f t="shared" si="14"/>
        <v>Mpox</v>
      </c>
      <c r="M281" s="40"/>
    </row>
    <row r="282">
      <c r="A282" s="34"/>
      <c r="B282" s="53" t="str">
        <f>IFERROR(__xludf.DUMMYFUNCTION("""COMPUTED_VALUE"""),"Collection Container                    ")</f>
        <v>Collection Container                    </v>
      </c>
      <c r="C282" s="34" t="str">
        <f>IFERROR(__xludf.DUMMYFUNCTION("""COMPUTED_VALUE"""),"OBI:0002088")</f>
        <v>OBI:0002088</v>
      </c>
      <c r="D282" s="29" t="str">
        <f>IFERROR(__xludf.DUMMYFUNCTION("""COMPUTED_VALUE"""),"A container with the function of containing a specimen.")</f>
        <v>A container with the function of containing a specimen.</v>
      </c>
      <c r="H282" s="55" t="s">
        <v>19</v>
      </c>
      <c r="I282" s="55" t="s">
        <v>19</v>
      </c>
      <c r="J282" s="55" t="s">
        <v>19</v>
      </c>
      <c r="K282" s="55" t="str">
        <f t="shared" si="14"/>
        <v>Mpox</v>
      </c>
      <c r="M282" s="40"/>
    </row>
    <row r="283">
      <c r="A283" s="34"/>
      <c r="B283" s="53" t="str">
        <f>IFERROR(__xludf.DUMMYFUNCTION("""COMPUTED_VALUE"""),"Collection Cup                    ")</f>
        <v>Collection Cup                    </v>
      </c>
      <c r="C283" s="34" t="str">
        <f>IFERROR(__xludf.DUMMYFUNCTION("""COMPUTED_VALUE"""),"GENEPIO:0100026")</f>
        <v>GENEPIO:0100026</v>
      </c>
      <c r="D283" s="29" t="str">
        <f>IFERROR(__xludf.DUMMYFUNCTION("""COMPUTED_VALUE"""),"A device which is used to collect liquid samples.")</f>
        <v>A device which is used to collect liquid samples.</v>
      </c>
      <c r="H283" s="55" t="s">
        <v>19</v>
      </c>
      <c r="I283" s="55" t="s">
        <v>19</v>
      </c>
      <c r="J283" s="55" t="s">
        <v>19</v>
      </c>
      <c r="K283" s="55" t="str">
        <f t="shared" si="14"/>
        <v>Mpox</v>
      </c>
      <c r="M283" s="40"/>
    </row>
    <row r="284">
      <c r="A284" s="34"/>
      <c r="B284" s="53" t="str">
        <f>IFERROR(__xludf.DUMMYFUNCTION("""COMPUTED_VALUE"""),"Filter                    ")</f>
        <v>Filter                    </v>
      </c>
      <c r="C284" s="34" t="str">
        <f>IFERROR(__xludf.DUMMYFUNCTION("""COMPUTED_VALUE"""),"GENEPIO:0100103")</f>
        <v>GENEPIO:0100103</v>
      </c>
      <c r="D284"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H284" s="55" t="s">
        <v>19</v>
      </c>
      <c r="I284" s="55" t="s">
        <v>19</v>
      </c>
      <c r="J284" s="55" t="s">
        <v>19</v>
      </c>
      <c r="K284" s="55" t="str">
        <f t="shared" si="14"/>
        <v>Mpox</v>
      </c>
      <c r="M284" s="40"/>
    </row>
    <row r="285">
      <c r="A285" s="34"/>
      <c r="B285" s="53" t="str">
        <f>IFERROR(__xludf.DUMMYFUNCTION("""COMPUTED_VALUE"""),"Needle                    ")</f>
        <v>Needle                    </v>
      </c>
      <c r="C285" s="34" t="str">
        <f>IFERROR(__xludf.DUMMYFUNCTION("""COMPUTED_VALUE"""),"OBI:0000436")</f>
        <v>OBI:0000436</v>
      </c>
      <c r="D285"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H285" s="55" t="s">
        <v>19</v>
      </c>
      <c r="I285" s="55" t="s">
        <v>19</v>
      </c>
      <c r="J285" s="55" t="s">
        <v>19</v>
      </c>
      <c r="K285" s="55" t="str">
        <f t="shared" si="14"/>
        <v>Mpox</v>
      </c>
      <c r="M285" s="40"/>
    </row>
    <row r="286">
      <c r="A286" s="34"/>
      <c r="B286" s="53" t="str">
        <f>IFERROR(__xludf.DUMMYFUNCTION("""COMPUTED_VALUE"""),"Serum Collection Tube                    ")</f>
        <v>Serum Collection Tube                    </v>
      </c>
      <c r="C286" s="34" t="str">
        <f>IFERROR(__xludf.DUMMYFUNCTION("""COMPUTED_VALUE"""),"OBI:0002860")</f>
        <v>OBI:0002860</v>
      </c>
      <c r="D286" s="29" t="str">
        <f>IFERROR(__xludf.DUMMYFUNCTION("""COMPUTED_VALUE"""),"A specimen collection tube which is designed for collecting whole blood and enabling the separation of serum.")</f>
        <v>A specimen collection tube which is designed for collecting whole blood and enabling the separation of serum.</v>
      </c>
      <c r="H286" s="55" t="s">
        <v>19</v>
      </c>
      <c r="I286" s="55" t="s">
        <v>19</v>
      </c>
      <c r="J286" s="55" t="s">
        <v>19</v>
      </c>
      <c r="K286" s="55" t="str">
        <f t="shared" si="14"/>
        <v>Mpox</v>
      </c>
      <c r="M286" s="40"/>
    </row>
    <row r="287">
      <c r="A287" s="34"/>
      <c r="B287" s="53" t="str">
        <f>IFERROR(__xludf.DUMMYFUNCTION("""COMPUTED_VALUE"""),"Sputum Collection Tube                    ")</f>
        <v>Sputum Collection Tube                    </v>
      </c>
      <c r="C287" s="34" t="str">
        <f>IFERROR(__xludf.DUMMYFUNCTION("""COMPUTED_VALUE"""),"OBI:0002861")</f>
        <v>OBI:0002861</v>
      </c>
      <c r="D287" s="29" t="str">
        <f>IFERROR(__xludf.DUMMYFUNCTION("""COMPUTED_VALUE"""),"A specimen collection tube which is designed for collecting sputum.")</f>
        <v>A specimen collection tube which is designed for collecting sputum.</v>
      </c>
      <c r="H287" s="55" t="s">
        <v>19</v>
      </c>
      <c r="I287" s="55" t="s">
        <v>19</v>
      </c>
      <c r="J287" s="55" t="s">
        <v>19</v>
      </c>
      <c r="K287" s="55" t="str">
        <f t="shared" si="14"/>
        <v>Mpox</v>
      </c>
      <c r="M287" s="40"/>
    </row>
    <row r="288">
      <c r="A288" s="34"/>
      <c r="B288" s="53" t="str">
        <f>IFERROR(__xludf.DUMMYFUNCTION("""COMPUTED_VALUE"""),"Suction Catheter                    ")</f>
        <v>Suction Catheter                    </v>
      </c>
      <c r="C288" s="34" t="str">
        <f>IFERROR(__xludf.DUMMYFUNCTION("""COMPUTED_VALUE"""),"OBI:0002831")</f>
        <v>OBI:0002831</v>
      </c>
      <c r="D288" s="29" t="str">
        <f>IFERROR(__xludf.DUMMYFUNCTION("""COMPUTED_VALUE"""),"A catheter which is used to remove mucus and other secretions from the body.")</f>
        <v>A catheter which is used to remove mucus and other secretions from the body.</v>
      </c>
      <c r="H288" s="55" t="s">
        <v>19</v>
      </c>
      <c r="I288" s="55" t="s">
        <v>19</v>
      </c>
      <c r="J288" s="55" t="s">
        <v>19</v>
      </c>
      <c r="K288" s="55" t="str">
        <f t="shared" si="14"/>
        <v>Mpox</v>
      </c>
      <c r="M288" s="40"/>
    </row>
    <row r="289">
      <c r="A289" s="34"/>
      <c r="B289" s="53" t="str">
        <f>IFERROR(__xludf.DUMMYFUNCTION("""COMPUTED_VALUE"""),"Swab                    ")</f>
        <v>Swab                    </v>
      </c>
      <c r="C289" s="34" t="str">
        <f>IFERROR(__xludf.DUMMYFUNCTION("""COMPUTED_VALUE"""),"GENEPIO:0100027")</f>
        <v>GENEPIO:0100027</v>
      </c>
      <c r="D289" s="29" t="str">
        <f>IFERROR(__xludf.DUMMYFUNCTION("""COMPUTED_VALUE"""),"A device which is a soft, absorbent material mounted on one or both ends of a stick.")</f>
        <v>A device which is a soft, absorbent material mounted on one or both ends of a stick.</v>
      </c>
      <c r="H289" s="55" t="s">
        <v>19</v>
      </c>
      <c r="I289" s="55" t="s">
        <v>19</v>
      </c>
      <c r="J289" s="55" t="s">
        <v>19</v>
      </c>
      <c r="K289" s="55" t="str">
        <f t="shared" si="14"/>
        <v>Mpox</v>
      </c>
      <c r="M289" s="40"/>
    </row>
    <row r="290">
      <c r="A290" s="34"/>
      <c r="B290" s="53" t="str">
        <f>IFERROR(__xludf.DUMMYFUNCTION("""COMPUTED_VALUE"""),"     Dry swab               ")</f>
        <v>     Dry swab               </v>
      </c>
      <c r="C290" s="34" t="str">
        <f>IFERROR(__xludf.DUMMYFUNCTION("""COMPUTED_VALUE"""),"GENEPIO:0100493")</f>
        <v>GENEPIO:0100493</v>
      </c>
      <c r="D290" s="29" t="str">
        <f>IFERROR(__xludf.DUMMYFUNCTION("""COMPUTED_VALUE"""),"A swab device that consists of soft, absorbent material mounted on one or both ends of a stick, designed to collect samples without the presence of a liquid or preservative medium.")</f>
        <v>A swab device that consists of soft, absorbent material mounted on one or both ends of a stick, designed to collect samples without the presence of a liquid or preservative medium.</v>
      </c>
      <c r="H290" s="55" t="s">
        <v>19</v>
      </c>
      <c r="I290" s="55" t="s">
        <v>19</v>
      </c>
      <c r="J290" s="55" t="s">
        <v>19</v>
      </c>
      <c r="K290" s="55" t="str">
        <f t="shared" si="14"/>
        <v>Mpox</v>
      </c>
      <c r="M290" s="40"/>
    </row>
    <row r="291">
      <c r="A291" s="34"/>
      <c r="B291" s="53" t="str">
        <f>IFERROR(__xludf.DUMMYFUNCTION("""COMPUTED_VALUE"""),"Urine Collection Tube                    ")</f>
        <v>Urine Collection Tube                    </v>
      </c>
      <c r="C291" s="34" t="str">
        <f>IFERROR(__xludf.DUMMYFUNCTION("""COMPUTED_VALUE"""),"OBI:0002862")</f>
        <v>OBI:0002862</v>
      </c>
      <c r="D291" s="29" t="str">
        <f>IFERROR(__xludf.DUMMYFUNCTION("""COMPUTED_VALUE"""),"A specimen container which is designed for holding urine.")</f>
        <v>A specimen container which is designed for holding urine.</v>
      </c>
      <c r="H291" s="55" t="s">
        <v>19</v>
      </c>
      <c r="I291" s="55" t="s">
        <v>19</v>
      </c>
      <c r="J291" s="55" t="s">
        <v>19</v>
      </c>
      <c r="K291" s="55" t="str">
        <f t="shared" si="14"/>
        <v>Mpox</v>
      </c>
      <c r="M291" s="40"/>
    </row>
    <row r="292">
      <c r="A292" s="34"/>
      <c r="B292" s="53" t="str">
        <f>IFERROR(__xludf.DUMMYFUNCTION("""COMPUTED_VALUE"""),"Universal Transport Medium (UTM)                    ")</f>
        <v>Universal Transport Medium (UTM)                    </v>
      </c>
      <c r="C292" s="34" t="str">
        <f>IFERROR(__xludf.DUMMYFUNCTION("""COMPUTED_VALUE"""),"GENEPIO:0100509")</f>
        <v>GENEPIO:0100509</v>
      </c>
      <c r="D292" s="29" t="str">
        <f>IFERROR(__xludf.DUMMYFUNCTION("""COMPUTED_VALUE"""),"A sterile, balanced medium designed to preserve and transport clinical specimens, such as viruses, bacteria, and mycoplasma, ensuring the viability of the sample for subsequent analysis or culture.")</f>
        <v>A sterile, balanced medium designed to preserve and transport clinical specimens, such as viruses, bacteria, and mycoplasma, ensuring the viability of the sample for subsequent analysis or culture.</v>
      </c>
      <c r="H292" s="55" t="s">
        <v>19</v>
      </c>
      <c r="I292" s="55" t="s">
        <v>19</v>
      </c>
      <c r="J292" s="55" t="s">
        <v>19</v>
      </c>
      <c r="K292" s="55" t="str">
        <f t="shared" si="14"/>
        <v>Mpox</v>
      </c>
      <c r="M292" s="40"/>
    </row>
    <row r="293">
      <c r="A293" s="29"/>
      <c r="B293" s="53" t="str">
        <f>IFERROR(__xludf.DUMMYFUNCTION("""COMPUTED_VALUE"""),"Virus Transport Medium                    ")</f>
        <v>Virus Transport Medium                    </v>
      </c>
      <c r="C293" s="29" t="str">
        <f>IFERROR(__xludf.DUMMYFUNCTION("""COMPUTED_VALUE"""),"OBI:0002866")</f>
        <v>OBI:0002866</v>
      </c>
      <c r="D293" s="29" t="str">
        <f>IFERROR(__xludf.DUMMYFUNCTION("""COMPUTED_VALUE"""),"A medium designed to promote longevity of a viral sample. FROM Corona19")</f>
        <v>A medium designed to promote longevity of a viral sample. FROM Corona19</v>
      </c>
      <c r="E293" s="29"/>
      <c r="F293" s="29"/>
      <c r="G293" s="29"/>
      <c r="H293" s="29"/>
      <c r="I293" s="29"/>
      <c r="J293" s="29"/>
      <c r="K293" s="55" t="str">
        <f t="shared" si="14"/>
        <v>Mpox</v>
      </c>
      <c r="M293" s="40"/>
    </row>
    <row r="294">
      <c r="A294" s="29"/>
      <c r="B294" s="53" t="str">
        <f>IFERROR(__xludf.DUMMYFUNCTION("""COMPUTED_VALUE"""),"                    ")</f>
        <v>                    </v>
      </c>
      <c r="C294" s="29"/>
      <c r="D294" s="29" t="str">
        <f>IFERROR(__xludf.DUMMYFUNCTION("""COMPUTED_VALUE"""),"")</f>
        <v/>
      </c>
      <c r="E294" s="29"/>
      <c r="F294" s="29"/>
      <c r="G294" s="29"/>
      <c r="H294" s="29"/>
      <c r="I294" s="29"/>
      <c r="J294" s="29"/>
      <c r="K294" s="55" t="str">
        <f t="shared" si="14"/>
        <v>Mpox</v>
      </c>
      <c r="M294" s="58"/>
    </row>
    <row r="295" hidden="1">
      <c r="A295" s="29" t="str">
        <f>IFERROR(__xludf.DUMMYFUNCTION("""COMPUTED_VALUE"""),"collection device international menu")</f>
        <v>collection device international menu</v>
      </c>
      <c r="B295" s="53" t="str">
        <f>IFERROR(__xludf.DUMMYFUNCTION("""COMPUTED_VALUE"""),"                    ")</f>
        <v>                    </v>
      </c>
      <c r="C295" s="29"/>
      <c r="D295" s="29" t="str">
        <f>IFERROR(__xludf.DUMMYFUNCTION("""COMPUTED_VALUE"""),"")</f>
        <v/>
      </c>
      <c r="E295" s="29"/>
      <c r="F295" s="29"/>
      <c r="G295" s="29"/>
      <c r="H295" s="56"/>
      <c r="I295" s="56"/>
      <c r="J295" s="56"/>
      <c r="K295" s="59" t="s">
        <v>27</v>
      </c>
      <c r="L295" s="34" t="str">
        <f>LEFT(A295, LEN(A295) - 5)
</f>
        <v>collection device international</v>
      </c>
      <c r="M295" s="34" t="str">
        <f>VLOOKUP(L295,'Field Reference Guide'!$B$6:$N$220,13,false)</f>
        <v>#N/A</v>
      </c>
    </row>
    <row r="296" hidden="1">
      <c r="A296" s="29"/>
      <c r="B296" s="53" t="str">
        <f>IFERROR(__xludf.DUMMYFUNCTION("""COMPUTED_VALUE"""),"Blood Collection Tube [OBI:0002859]                    ")</f>
        <v>Blood Collection Tube [OBI:0002859]                    </v>
      </c>
      <c r="C296" s="29" t="str">
        <f>IFERROR(__xludf.DUMMYFUNCTION("""COMPUTED_VALUE"""),"OBI:0002859")</f>
        <v>OBI:0002859</v>
      </c>
      <c r="D296" s="29" t="str">
        <f>IFERROR(__xludf.DUMMYFUNCTION("""COMPUTED_VALUE"""),"A specimen collection tube which is designed for the collection of whole blood. See also: https://en.wikipedia.org/wiki/Blood_culture#Collection")</f>
        <v>A specimen collection tube which is designed for the collection of whole blood. See also: https://en.wikipedia.org/wiki/Blood_culture#Collection</v>
      </c>
      <c r="E296" s="29"/>
      <c r="F296" s="29"/>
      <c r="G296" s="29"/>
      <c r="H296" s="56" t="s">
        <v>19</v>
      </c>
      <c r="I296" s="56" t="s">
        <v>19</v>
      </c>
      <c r="J296" s="56" t="s">
        <v>19</v>
      </c>
      <c r="K296" s="55" t="str">
        <f t="shared" ref="K296:K310" si="15">K295</f>
        <v>International</v>
      </c>
      <c r="M296" s="57" t="s">
        <v>28</v>
      </c>
    </row>
    <row r="297" hidden="1">
      <c r="A297" s="29"/>
      <c r="B297" s="53" t="str">
        <f>IFERROR(__xludf.DUMMYFUNCTION("""COMPUTED_VALUE"""),"Bronchoscope [OBI:0002826]                    ")</f>
        <v>Bronchoscope [OBI:0002826]                    </v>
      </c>
      <c r="C297" s="29" t="str">
        <f>IFERROR(__xludf.DUMMYFUNCTION("""COMPUTED_VALUE"""),"OBI:0002826")</f>
        <v>OBI:0002826</v>
      </c>
      <c r="D297" s="29" t="str">
        <f>IFERROR(__xludf.DUMMYFUNCTION("""COMPUTED_VALUE"""),"A device which is a thin, tube-like instrument which includes a light and a lens used to examine a lung.")</f>
        <v>A device which is a thin, tube-like instrument which includes a light and a lens used to examine a lung.</v>
      </c>
      <c r="E297" s="29"/>
      <c r="F297" s="29"/>
      <c r="G297" s="29"/>
      <c r="H297" s="56" t="s">
        <v>19</v>
      </c>
      <c r="I297" s="56" t="s">
        <v>19</v>
      </c>
      <c r="J297" s="56" t="s">
        <v>19</v>
      </c>
      <c r="K297" s="55" t="str">
        <f t="shared" si="15"/>
        <v>International</v>
      </c>
      <c r="M297" s="40"/>
    </row>
    <row r="298" hidden="1">
      <c r="A298" s="29"/>
      <c r="B298" s="53" t="str">
        <f>IFERROR(__xludf.DUMMYFUNCTION("""COMPUTED_VALUE"""),"Collection Container [OBI:0002088]                    ")</f>
        <v>Collection Container [OBI:0002088]                    </v>
      </c>
      <c r="C298" s="29" t="str">
        <f>IFERROR(__xludf.DUMMYFUNCTION("""COMPUTED_VALUE"""),"OBI:0002088")</f>
        <v>OBI:0002088</v>
      </c>
      <c r="D298" s="29" t="str">
        <f>IFERROR(__xludf.DUMMYFUNCTION("""COMPUTED_VALUE"""),"A container with the function of containing a specimen.")</f>
        <v>A container with the function of containing a specimen.</v>
      </c>
      <c r="E298" s="29"/>
      <c r="F298" s="29"/>
      <c r="G298" s="29"/>
      <c r="H298" s="56" t="s">
        <v>19</v>
      </c>
      <c r="I298" s="56" t="s">
        <v>19</v>
      </c>
      <c r="J298" s="56" t="s">
        <v>19</v>
      </c>
      <c r="K298" s="55" t="str">
        <f t="shared" si="15"/>
        <v>International</v>
      </c>
      <c r="M298" s="40"/>
    </row>
    <row r="299" hidden="1">
      <c r="A299" s="29"/>
      <c r="B299" s="53" t="str">
        <f>IFERROR(__xludf.DUMMYFUNCTION("""COMPUTED_VALUE"""),"Collection Cup [GENEPIO:0100026]                    ")</f>
        <v>Collection Cup [GENEPIO:0100026]                    </v>
      </c>
      <c r="C299" s="29" t="str">
        <f>IFERROR(__xludf.DUMMYFUNCTION("""COMPUTED_VALUE"""),"GENEPIO:0100026")</f>
        <v>GENEPIO:0100026</v>
      </c>
      <c r="D299" s="29" t="str">
        <f>IFERROR(__xludf.DUMMYFUNCTION("""COMPUTED_VALUE"""),"A device which is used to collect liquid samples.")</f>
        <v>A device which is used to collect liquid samples.</v>
      </c>
      <c r="E299" s="29"/>
      <c r="F299" s="29"/>
      <c r="G299" s="29"/>
      <c r="H299" s="56" t="s">
        <v>19</v>
      </c>
      <c r="I299" s="56" t="s">
        <v>19</v>
      </c>
      <c r="J299" s="56" t="s">
        <v>19</v>
      </c>
      <c r="K299" s="55" t="str">
        <f t="shared" si="15"/>
        <v>International</v>
      </c>
      <c r="M299" s="40"/>
    </row>
    <row r="300" hidden="1">
      <c r="A300" s="29"/>
      <c r="B300" s="53" t="str">
        <f>IFERROR(__xludf.DUMMYFUNCTION("""COMPUTED_VALUE"""),"Filter [GENEPIO:0100103]                    ")</f>
        <v>Filter [GENEPIO:0100103]                    </v>
      </c>
      <c r="C300" s="29" t="str">
        <f>IFERROR(__xludf.DUMMYFUNCTION("""COMPUTED_VALUE"""),"GENEPIO:0100103")</f>
        <v>GENEPIO:0100103</v>
      </c>
      <c r="D300" s="29" t="str">
        <f>IFERROR(__xludf.DUMMYFUNCTION("""COMPUTED_VALUE"""),"A manufactured product which separates solids from fluids by adding a medium through which only a fluid can pass.")</f>
        <v>A manufactured product which separates solids from fluids by adding a medium through which only a fluid can pass.</v>
      </c>
      <c r="E300" s="29"/>
      <c r="F300" s="29"/>
      <c r="G300" s="29"/>
      <c r="H300" s="56" t="s">
        <v>19</v>
      </c>
      <c r="I300" s="56" t="s">
        <v>19</v>
      </c>
      <c r="J300" s="56" t="s">
        <v>19</v>
      </c>
      <c r="K300" s="55" t="str">
        <f t="shared" si="15"/>
        <v>International</v>
      </c>
      <c r="M300" s="40"/>
    </row>
    <row r="301" hidden="1">
      <c r="A301" s="29"/>
      <c r="B301" s="53" t="str">
        <f>IFERROR(__xludf.DUMMYFUNCTION("""COMPUTED_VALUE"""),"Needle [OBI:0000436]                    ")</f>
        <v>Needle [OBI:0000436]                    </v>
      </c>
      <c r="C301" s="29" t="str">
        <f>IFERROR(__xludf.DUMMYFUNCTION("""COMPUTED_VALUE"""),"OBI:0000436")</f>
        <v>OBI:0000436</v>
      </c>
      <c r="D301" s="29" t="str">
        <f>IFERROR(__xludf.DUMMYFUNCTION("""COMPUTED_VALUE"""),"A needle is a sharp, hollow device used to penetrate tissue or soft material. When attached to a syringe. it allows delivery of a specific volume of liquid or gaseous mixture.")</f>
        <v>A needle is a sharp, hollow device used to penetrate tissue or soft material. When attached to a syringe. it allows delivery of a specific volume of liquid or gaseous mixture.</v>
      </c>
      <c r="E301" s="29"/>
      <c r="F301" s="29"/>
      <c r="G301" s="29"/>
      <c r="H301" s="56" t="s">
        <v>19</v>
      </c>
      <c r="I301" s="56" t="s">
        <v>19</v>
      </c>
      <c r="J301" s="56" t="s">
        <v>19</v>
      </c>
      <c r="K301" s="55" t="str">
        <f t="shared" si="15"/>
        <v>International</v>
      </c>
      <c r="M301" s="40"/>
    </row>
    <row r="302" hidden="1">
      <c r="A302" s="29"/>
      <c r="B302" s="53" t="str">
        <f>IFERROR(__xludf.DUMMYFUNCTION("""COMPUTED_VALUE"""),"Serum Collection Tube [OBI:0002860]                    ")</f>
        <v>Serum Collection Tube [OBI:0002860]                    </v>
      </c>
      <c r="C302" s="29" t="str">
        <f>IFERROR(__xludf.DUMMYFUNCTION("""COMPUTED_VALUE"""),"OBI:0002860")</f>
        <v>OBI:0002860</v>
      </c>
      <c r="D302" s="29" t="str">
        <f>IFERROR(__xludf.DUMMYFUNCTION("""COMPUTED_VALUE"""),"A specimen collection tube which is designed for collecting whole blood and enabling the separation of serum.")</f>
        <v>A specimen collection tube which is designed for collecting whole blood and enabling the separation of serum.</v>
      </c>
      <c r="E302" s="29"/>
      <c r="F302" s="29"/>
      <c r="G302" s="29"/>
      <c r="H302" s="56" t="s">
        <v>19</v>
      </c>
      <c r="I302" s="56" t="s">
        <v>19</v>
      </c>
      <c r="J302" s="56" t="s">
        <v>19</v>
      </c>
      <c r="K302" s="55" t="str">
        <f t="shared" si="15"/>
        <v>International</v>
      </c>
      <c r="M302" s="40"/>
    </row>
    <row r="303" hidden="1">
      <c r="A303" s="29"/>
      <c r="B303" s="53" t="str">
        <f>IFERROR(__xludf.DUMMYFUNCTION("""COMPUTED_VALUE"""),"Sputum Collection Tube [OBI:0002861]                    ")</f>
        <v>Sputum Collection Tube [OBI:0002861]                    </v>
      </c>
      <c r="C303" s="29" t="str">
        <f>IFERROR(__xludf.DUMMYFUNCTION("""COMPUTED_VALUE"""),"OBI:0002861")</f>
        <v>OBI:0002861</v>
      </c>
      <c r="D303" s="29" t="str">
        <f>IFERROR(__xludf.DUMMYFUNCTION("""COMPUTED_VALUE"""),"A specimen collection tube which is designed for collecting sputum.")</f>
        <v>A specimen collection tube which is designed for collecting sputum.</v>
      </c>
      <c r="E303" s="29"/>
      <c r="F303" s="29"/>
      <c r="G303" s="29"/>
      <c r="H303" s="56" t="s">
        <v>19</v>
      </c>
      <c r="I303" s="56" t="s">
        <v>19</v>
      </c>
      <c r="J303" s="56" t="s">
        <v>19</v>
      </c>
      <c r="K303" s="55" t="str">
        <f t="shared" si="15"/>
        <v>International</v>
      </c>
      <c r="M303" s="40"/>
    </row>
    <row r="304" hidden="1">
      <c r="A304" s="29"/>
      <c r="B304" s="53" t="str">
        <f>IFERROR(__xludf.DUMMYFUNCTION("""COMPUTED_VALUE"""),"Suction Catheter [OBI:0002831]                    ")</f>
        <v>Suction Catheter [OBI:0002831]                    </v>
      </c>
      <c r="C304" s="29" t="str">
        <f>IFERROR(__xludf.DUMMYFUNCTION("""COMPUTED_VALUE"""),"OBI:0002831")</f>
        <v>OBI:0002831</v>
      </c>
      <c r="D304" s="29" t="str">
        <f>IFERROR(__xludf.DUMMYFUNCTION("""COMPUTED_VALUE"""),"A catheter which is used to remove mucus and other secretions from the body.")</f>
        <v>A catheter which is used to remove mucus and other secretions from the body.</v>
      </c>
      <c r="E304" s="29"/>
      <c r="F304" s="29"/>
      <c r="G304" s="29"/>
      <c r="H304" s="56" t="s">
        <v>19</v>
      </c>
      <c r="I304" s="56" t="s">
        <v>19</v>
      </c>
      <c r="J304" s="56" t="s">
        <v>19</v>
      </c>
      <c r="K304" s="55" t="str">
        <f t="shared" si="15"/>
        <v>International</v>
      </c>
      <c r="M304" s="40"/>
    </row>
    <row r="305" hidden="1">
      <c r="A305" s="29"/>
      <c r="B305" s="53" t="str">
        <f>IFERROR(__xludf.DUMMYFUNCTION("""COMPUTED_VALUE"""),"Swab [GENEPIO:0100027]                    ")</f>
        <v>Swab [GENEPIO:0100027]                    </v>
      </c>
      <c r="C305" s="29" t="str">
        <f>IFERROR(__xludf.DUMMYFUNCTION("""COMPUTED_VALUE"""),"GENEPIO:0100027")</f>
        <v>GENEPIO:0100027</v>
      </c>
      <c r="D305" s="29" t="str">
        <f>IFERROR(__xludf.DUMMYFUNCTION("""COMPUTED_VALUE"""),"A device which is a soft, absorbent material mounted on one or both ends of a stick.")</f>
        <v>A device which is a soft, absorbent material mounted on one or both ends of a stick.</v>
      </c>
      <c r="E305" s="29"/>
      <c r="F305" s="29"/>
      <c r="G305" s="29"/>
      <c r="H305" s="56" t="s">
        <v>19</v>
      </c>
      <c r="I305" s="56" t="s">
        <v>19</v>
      </c>
      <c r="J305" s="56" t="s">
        <v>19</v>
      </c>
      <c r="K305" s="55" t="str">
        <f t="shared" si="15"/>
        <v>International</v>
      </c>
      <c r="M305" s="40"/>
    </row>
    <row r="306" hidden="1">
      <c r="A306" s="29"/>
      <c r="B306" s="53" t="str">
        <f>IFERROR(__xludf.DUMMYFUNCTION("""COMPUTED_VALUE"""),"     Dry swab [GENEPIO:0100493]               ")</f>
        <v>     Dry swab [GENEPIO:0100493]               </v>
      </c>
      <c r="C306" s="29" t="str">
        <f>IFERROR(__xludf.DUMMYFUNCTION("""COMPUTED_VALUE"""),"GENEPIO:0100493")</f>
        <v>GENEPIO:0100493</v>
      </c>
      <c r="D306" s="29" t="str">
        <f>IFERROR(__xludf.DUMMYFUNCTION("""COMPUTED_VALUE"""),"A swab device that consists of soft, absorbent material mounted on one or both ends of a stick, designed to collect samples without the presence of a liquid or preservative medium.")</f>
        <v>A swab device that consists of soft, absorbent material mounted on one or both ends of a stick, designed to collect samples without the presence of a liquid or preservative medium.</v>
      </c>
      <c r="E306" s="29"/>
      <c r="F306" s="29"/>
      <c r="G306" s="29"/>
      <c r="H306" s="56" t="s">
        <v>19</v>
      </c>
      <c r="I306" s="56" t="s">
        <v>19</v>
      </c>
      <c r="J306" s="56" t="s">
        <v>19</v>
      </c>
      <c r="K306" s="55" t="str">
        <f t="shared" si="15"/>
        <v>International</v>
      </c>
      <c r="M306" s="40"/>
    </row>
    <row r="307" hidden="1">
      <c r="A307" s="29"/>
      <c r="B307" s="53" t="str">
        <f>IFERROR(__xludf.DUMMYFUNCTION("""COMPUTED_VALUE"""),"Urine Collection Tube [OBI:0002862]                    ")</f>
        <v>Urine Collection Tube [OBI:0002862]                    </v>
      </c>
      <c r="C307" s="29" t="str">
        <f>IFERROR(__xludf.DUMMYFUNCTION("""COMPUTED_VALUE"""),"OBI:0002862")</f>
        <v>OBI:0002862</v>
      </c>
      <c r="D307" s="29" t="str">
        <f>IFERROR(__xludf.DUMMYFUNCTION("""COMPUTED_VALUE"""),"A specimen container which is designed for holding urine.")</f>
        <v>A specimen container which is designed for holding urine.</v>
      </c>
      <c r="E307" s="29"/>
      <c r="F307" s="29"/>
      <c r="G307" s="29"/>
      <c r="H307" s="56" t="s">
        <v>19</v>
      </c>
      <c r="I307" s="56" t="s">
        <v>19</v>
      </c>
      <c r="J307" s="56" t="s">
        <v>19</v>
      </c>
      <c r="K307" s="55" t="str">
        <f t="shared" si="15"/>
        <v>International</v>
      </c>
      <c r="M307" s="40"/>
    </row>
    <row r="308" hidden="1">
      <c r="A308" s="29"/>
      <c r="B308" s="53" t="str">
        <f>IFERROR(__xludf.DUMMYFUNCTION("""COMPUTED_VALUE"""),"Universal Transport Medium (UTM) [GENEPIO:0100509]                    ")</f>
        <v>Universal Transport Medium (UTM) [GENEPIO:0100509]                    </v>
      </c>
      <c r="C308" s="29" t="str">
        <f>IFERROR(__xludf.DUMMYFUNCTION("""COMPUTED_VALUE"""),"GENEPIO:0100509")</f>
        <v>GENEPIO:0100509</v>
      </c>
      <c r="D308" s="29" t="str">
        <f>IFERROR(__xludf.DUMMYFUNCTION("""COMPUTED_VALUE"""),"A sterile, balanced medium designed to preserve and transport clinical specimens, such as viruses, bacteria, and mycoplasma, ensuring the viability of the sample for subsequent analysis or culture.")</f>
        <v>A sterile, balanced medium designed to preserve and transport clinical specimens, such as viruses, bacteria, and mycoplasma, ensuring the viability of the sample for subsequent analysis or culture.</v>
      </c>
      <c r="E308" s="29"/>
      <c r="F308" s="29"/>
      <c r="G308" s="29"/>
      <c r="H308" s="56" t="s">
        <v>19</v>
      </c>
      <c r="I308" s="56" t="s">
        <v>19</v>
      </c>
      <c r="J308" s="56" t="s">
        <v>19</v>
      </c>
      <c r="K308" s="55" t="str">
        <f t="shared" si="15"/>
        <v>International</v>
      </c>
      <c r="M308" s="40"/>
    </row>
    <row r="309" hidden="1">
      <c r="A309" s="29"/>
      <c r="B309" s="53" t="str">
        <f>IFERROR(__xludf.DUMMYFUNCTION("""COMPUTED_VALUE"""),"Virus Transport Medium [OBI:0002866]                    ")</f>
        <v>Virus Transport Medium [OBI:0002866]                    </v>
      </c>
      <c r="C309" s="29" t="str">
        <f>IFERROR(__xludf.DUMMYFUNCTION("""COMPUTED_VALUE"""),"OBI:0002866")</f>
        <v>OBI:0002866</v>
      </c>
      <c r="D309" s="29" t="str">
        <f>IFERROR(__xludf.DUMMYFUNCTION("""COMPUTED_VALUE"""),"A medium designed to promote longevity of a viral sample. FROM Corona19")</f>
        <v>A medium designed to promote longevity of a viral sample. FROM Corona19</v>
      </c>
      <c r="E309" s="29"/>
      <c r="F309" s="29"/>
      <c r="G309" s="29"/>
      <c r="H309" s="29"/>
      <c r="I309" s="29"/>
      <c r="J309" s="29"/>
      <c r="K309" s="55" t="str">
        <f t="shared" si="15"/>
        <v>International</v>
      </c>
      <c r="M309" s="40"/>
    </row>
    <row r="310" hidden="1">
      <c r="A310" s="34"/>
      <c r="B310" s="53" t="str">
        <f>IFERROR(__xludf.DUMMYFUNCTION("""COMPUTED_VALUE"""),"                    ")</f>
        <v>                    </v>
      </c>
      <c r="C310" s="34"/>
      <c r="D310" s="29" t="str">
        <f>IFERROR(__xludf.DUMMYFUNCTION("""COMPUTED_VALUE"""),"")</f>
        <v/>
      </c>
      <c r="K310" s="55" t="str">
        <f t="shared" si="15"/>
        <v>International</v>
      </c>
      <c r="M310" s="58"/>
    </row>
    <row r="311">
      <c r="A311" s="34" t="str">
        <f>IFERROR(__xludf.DUMMYFUNCTION("""COMPUTED_VALUE"""),"specimen processing menu")</f>
        <v>specimen processing menu</v>
      </c>
      <c r="B311" s="53" t="str">
        <f>IFERROR(__xludf.DUMMYFUNCTION("""COMPUTED_VALUE"""),"                    ")</f>
        <v>                    </v>
      </c>
      <c r="C311" s="34"/>
      <c r="D311" s="29" t="str">
        <f>IFERROR(__xludf.DUMMYFUNCTION("""COMPUTED_VALUE"""),"")</f>
        <v/>
      </c>
      <c r="E311" s="34"/>
      <c r="F311" s="34"/>
      <c r="G311" s="34"/>
      <c r="H311" s="55"/>
      <c r="I311" s="55"/>
      <c r="J311" s="55"/>
      <c r="K311" s="55" t="s">
        <v>26</v>
      </c>
      <c r="L311" s="34" t="str">
        <f>LEFT(A311, LEN(A311) - 5)
</f>
        <v>specimen processing</v>
      </c>
      <c r="M311" s="34" t="str">
        <f>VLOOKUP(L311,'Field Reference Guide'!$B$6:$N$220,13,false)</f>
        <v>Mpox</v>
      </c>
    </row>
    <row r="312">
      <c r="A312" s="34"/>
      <c r="B312" s="53" t="str">
        <f>IFERROR(__xludf.DUMMYFUNCTION("""COMPUTED_VALUE"""),"Virus passage                    ")</f>
        <v>Virus passage                    </v>
      </c>
      <c r="C312" s="34" t="str">
        <f>IFERROR(__xludf.DUMMYFUNCTION("""COMPUTED_VALUE"""),"GENEPIO:0100039")</f>
        <v>GENEPIO:0100039</v>
      </c>
      <c r="D312" s="29" t="str">
        <f>IFERROR(__xludf.DUMMYFUNCTION("""COMPUTED_VALUE"""),"The process of growing a virus in serial iterations.")</f>
        <v>The process of growing a virus in serial iterations.</v>
      </c>
      <c r="H312" s="55" t="s">
        <v>19</v>
      </c>
      <c r="I312" s="55" t="s">
        <v>19</v>
      </c>
      <c r="J312" s="55" t="s">
        <v>19</v>
      </c>
      <c r="K312" s="55" t="str">
        <f t="shared" ref="K312:K314" si="16">K311</f>
        <v>Mpox</v>
      </c>
      <c r="M312" s="57" t="s">
        <v>26</v>
      </c>
    </row>
    <row r="313">
      <c r="A313" s="34"/>
      <c r="B313" s="53" t="str">
        <f>IFERROR(__xludf.DUMMYFUNCTION("""COMPUTED_VALUE"""),"RNA re-extraction (post RT-PCR)                    ")</f>
        <v>RNA re-extraction (post RT-PCR)                    </v>
      </c>
      <c r="C313" s="34" t="str">
        <f>IFERROR(__xludf.DUMMYFUNCTION("""COMPUTED_VALUE"""),"GENEPIO:0100040")</f>
        <v>GENEPIO:0100040</v>
      </c>
      <c r="D313" s="29" t="str">
        <f>IFERROR(__xludf.DUMMYFUNCTION("""COMPUTED_VALUE"""),"A secondary RNA extraction after performing reverse transcription polymerase chain reaction (RT-PCR). The desired output is RNA.")</f>
        <v>A secondary RNA extraction after performing reverse transcription polymerase chain reaction (RT-PCR). The desired output is RNA.</v>
      </c>
      <c r="H313" s="55" t="s">
        <v>19</v>
      </c>
      <c r="I313" s="55" t="s">
        <v>19</v>
      </c>
      <c r="J313" s="55" t="s">
        <v>19</v>
      </c>
      <c r="K313" s="55" t="str">
        <f t="shared" si="16"/>
        <v>Mpox</v>
      </c>
      <c r="M313" s="40"/>
    </row>
    <row r="314">
      <c r="A314" s="29"/>
      <c r="B314" s="53" t="str">
        <f>IFERROR(__xludf.DUMMYFUNCTION("""COMPUTED_VALUE"""),"Specimens pooled                    ")</f>
        <v>Specimens pooled                    </v>
      </c>
      <c r="C314" s="29" t="str">
        <f>IFERROR(__xludf.DUMMYFUNCTION("""COMPUTED_VALUE"""),"OBI:0600016")</f>
        <v>OBI:0600016</v>
      </c>
      <c r="D314" s="29" t="str">
        <f>IFERROR(__xludf.DUMMYFUNCTION("""COMPUTED_VALUE"""),"Physical combination of several instances of like material.")</f>
        <v>Physical combination of several instances of like material.</v>
      </c>
      <c r="E314" s="29"/>
      <c r="F314" s="29"/>
      <c r="G314" s="29"/>
      <c r="H314" s="55" t="s">
        <v>19</v>
      </c>
      <c r="I314" s="55" t="s">
        <v>19</v>
      </c>
      <c r="J314" s="55" t="s">
        <v>19</v>
      </c>
      <c r="K314" s="55" t="str">
        <f t="shared" si="16"/>
        <v>Mpox</v>
      </c>
      <c r="M314" s="40"/>
    </row>
    <row r="315" hidden="1">
      <c r="A315" s="29" t="str">
        <f>IFERROR(__xludf.DUMMYFUNCTION("""COMPUTED_VALUE"""),"specimen processing international menu")</f>
        <v>specimen processing international menu</v>
      </c>
      <c r="B315" s="53" t="str">
        <f>IFERROR(__xludf.DUMMYFUNCTION("""COMPUTED_VALUE"""),"                    ")</f>
        <v>                    </v>
      </c>
      <c r="C315" s="29"/>
      <c r="D315" s="29" t="str">
        <f>IFERROR(__xludf.DUMMYFUNCTION("""COMPUTED_VALUE"""),"")</f>
        <v/>
      </c>
      <c r="E315" s="29"/>
      <c r="F315" s="29"/>
      <c r="G315" s="29"/>
      <c r="H315" s="56"/>
      <c r="I315" s="56"/>
      <c r="J315" s="56"/>
      <c r="K315" s="59" t="s">
        <v>27</v>
      </c>
      <c r="L315" s="34" t="str">
        <f>LEFT(A315, LEN(A315) - 5)
</f>
        <v>specimen processing international</v>
      </c>
      <c r="M315" s="34" t="str">
        <f>VLOOKUP(L315,'Field Reference Guide'!$B$6:$N$220,13,false)</f>
        <v>#N/A</v>
      </c>
    </row>
    <row r="316" hidden="1">
      <c r="A316" s="29"/>
      <c r="B316" s="53" t="str">
        <f>IFERROR(__xludf.DUMMYFUNCTION("""COMPUTED_VALUE"""),"Virus passage [GENEPIO:0100039]                    ")</f>
        <v>Virus passage [GENEPIO:0100039]                    </v>
      </c>
      <c r="C316" s="29" t="str">
        <f>IFERROR(__xludf.DUMMYFUNCTION("""COMPUTED_VALUE"""),"GENEPIO:0100039")</f>
        <v>GENEPIO:0100039</v>
      </c>
      <c r="D316" s="29" t="str">
        <f>IFERROR(__xludf.DUMMYFUNCTION("""COMPUTED_VALUE"""),"The process of growing a virus in serial iterations.")</f>
        <v>The process of growing a virus in serial iterations.</v>
      </c>
      <c r="E316" s="29"/>
      <c r="F316" s="29"/>
      <c r="G316" s="29"/>
      <c r="H316" s="56" t="s">
        <v>19</v>
      </c>
      <c r="I316" s="56" t="s">
        <v>19</v>
      </c>
      <c r="J316" s="56" t="s">
        <v>19</v>
      </c>
      <c r="K316" s="55" t="str">
        <f t="shared" ref="K316:K318" si="17">K315</f>
        <v>International</v>
      </c>
      <c r="M316" s="57" t="s">
        <v>28</v>
      </c>
    </row>
    <row r="317" hidden="1">
      <c r="A317" s="29"/>
      <c r="B317" s="53" t="str">
        <f>IFERROR(__xludf.DUMMYFUNCTION("""COMPUTED_VALUE"""),"RNA re-extraction (post RT-PCR) [GENEPIO:0100040]                    ")</f>
        <v>RNA re-extraction (post RT-PCR) [GENEPIO:0100040]                    </v>
      </c>
      <c r="C317" s="29" t="str">
        <f>IFERROR(__xludf.DUMMYFUNCTION("""COMPUTED_VALUE"""),"GENEPIO:0100040")</f>
        <v>GENEPIO:0100040</v>
      </c>
      <c r="D317" s="29" t="str">
        <f>IFERROR(__xludf.DUMMYFUNCTION("""COMPUTED_VALUE"""),"A secondary RNA extraction after performing reverse transcription polymerase chain reaction (RT-PCR). The desired output is RNA.")</f>
        <v>A secondary RNA extraction after performing reverse transcription polymerase chain reaction (RT-PCR). The desired output is RNA.</v>
      </c>
      <c r="E317" s="29"/>
      <c r="F317" s="29"/>
      <c r="G317" s="29"/>
      <c r="H317" s="56" t="s">
        <v>19</v>
      </c>
      <c r="I317" s="56" t="s">
        <v>19</v>
      </c>
      <c r="J317" s="56" t="s">
        <v>19</v>
      </c>
      <c r="K317" s="55" t="str">
        <f t="shared" si="17"/>
        <v>International</v>
      </c>
      <c r="M317" s="40"/>
    </row>
    <row r="318" hidden="1">
      <c r="A318" s="29"/>
      <c r="B318" s="53" t="str">
        <f>IFERROR(__xludf.DUMMYFUNCTION("""COMPUTED_VALUE"""),"Specimens pooled [OBI:0600016]                    ")</f>
        <v>Specimens pooled [OBI:0600016]                    </v>
      </c>
      <c r="C318" s="29" t="str">
        <f>IFERROR(__xludf.DUMMYFUNCTION("""COMPUTED_VALUE"""),"OBI:0600016")</f>
        <v>OBI:0600016</v>
      </c>
      <c r="D318" s="29" t="str">
        <f>IFERROR(__xludf.DUMMYFUNCTION("""COMPUTED_VALUE"""),"Physical combination of several instances of like material.")</f>
        <v>Physical combination of several instances of like material.</v>
      </c>
      <c r="E318" s="29"/>
      <c r="F318" s="29"/>
      <c r="G318" s="29"/>
      <c r="H318" s="56" t="s">
        <v>19</v>
      </c>
      <c r="I318" s="56" t="s">
        <v>19</v>
      </c>
      <c r="J318" s="56" t="s">
        <v>19</v>
      </c>
      <c r="K318" s="55" t="str">
        <f t="shared" si="17"/>
        <v>International</v>
      </c>
      <c r="M318" s="40"/>
    </row>
    <row r="319">
      <c r="A319" s="34" t="str">
        <f>IFERROR(__xludf.DUMMYFUNCTION("""COMPUTED_VALUE"""),"experimental specimen role type menu")</f>
        <v>experimental specimen role type menu</v>
      </c>
      <c r="B319" s="53" t="str">
        <f>IFERROR(__xludf.DUMMYFUNCTION("""COMPUTED_VALUE"""),"                    ")</f>
        <v>                    </v>
      </c>
      <c r="C319" s="34"/>
      <c r="D319" s="29" t="str">
        <f>IFERROR(__xludf.DUMMYFUNCTION("""COMPUTED_VALUE"""),"")</f>
        <v/>
      </c>
      <c r="E319" s="34"/>
      <c r="F319" s="34"/>
      <c r="G319" s="34"/>
      <c r="H319" s="34"/>
      <c r="I319" s="34"/>
      <c r="J319" s="34"/>
      <c r="K319" s="35" t="s">
        <v>29</v>
      </c>
      <c r="L319" s="34" t="str">
        <f>LEFT(A319, LEN(A319) - 5)
</f>
        <v>experimental specimen role type</v>
      </c>
      <c r="M319" s="34" t="str">
        <f>VLOOKUP(L319,'Field Reference Guide'!$B$6:$N$220,13,false)</f>
        <v>Mpox</v>
      </c>
    </row>
    <row r="320">
      <c r="A320" s="34"/>
      <c r="B320" s="53" t="str">
        <f>IFERROR(__xludf.DUMMYFUNCTION("""COMPUTED_VALUE"""),"Positive experimental control                    ")</f>
        <v>Positive experimental control                    </v>
      </c>
      <c r="C320" s="34" t="str">
        <f>IFERROR(__xludf.DUMMYFUNCTION("""COMPUTED_VALUE"""),"GENEPIO:0101018")</f>
        <v>GENEPIO:0101018</v>
      </c>
      <c r="D320"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H320" s="55" t="s">
        <v>20</v>
      </c>
      <c r="I320" s="55" t="s">
        <v>20</v>
      </c>
      <c r="J320" s="55" t="s">
        <v>20</v>
      </c>
      <c r="K320" s="55" t="str">
        <f t="shared" ref="K320:K323" si="18">K319</f>
        <v>MPox</v>
      </c>
      <c r="M320" s="57" t="s">
        <v>26</v>
      </c>
    </row>
    <row r="321">
      <c r="A321" s="29"/>
      <c r="B321" s="53" t="str">
        <f>IFERROR(__xludf.DUMMYFUNCTION("""COMPUTED_VALUE"""),"Negative experimental control                    ")</f>
        <v>Negative experimental control                    </v>
      </c>
      <c r="C321" s="29" t="str">
        <f>IFERROR(__xludf.DUMMYFUNCTION("""COMPUTED_VALUE"""),"GENEPIO:0101019")</f>
        <v>GENEPIO:0101019</v>
      </c>
      <c r="D321"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321" s="29"/>
      <c r="F321" s="29"/>
      <c r="G321" s="29"/>
      <c r="H321" s="55" t="s">
        <v>20</v>
      </c>
      <c r="I321" s="55" t="s">
        <v>20</v>
      </c>
      <c r="J321" s="55" t="s">
        <v>20</v>
      </c>
      <c r="K321" s="55" t="str">
        <f t="shared" si="18"/>
        <v>MPox</v>
      </c>
      <c r="M321" s="40"/>
    </row>
    <row r="322">
      <c r="A322" s="29"/>
      <c r="B322" s="53" t="str">
        <f>IFERROR(__xludf.DUMMYFUNCTION("""COMPUTED_VALUE"""),"Technical replicate                    ")</f>
        <v>Technical replicate                    </v>
      </c>
      <c r="C322" s="29" t="str">
        <f>IFERROR(__xludf.DUMMYFUNCTION("""COMPUTED_VALUE"""),"EFO:0002090")</f>
        <v>EFO:0002090</v>
      </c>
      <c r="D322"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2" s="29"/>
      <c r="F322" s="29"/>
      <c r="G322" s="29"/>
      <c r="H322" s="55" t="s">
        <v>20</v>
      </c>
      <c r="I322" s="55" t="s">
        <v>20</v>
      </c>
      <c r="J322" s="55" t="s">
        <v>20</v>
      </c>
      <c r="K322" s="55" t="str">
        <f t="shared" si="18"/>
        <v>MPox</v>
      </c>
      <c r="M322" s="40"/>
    </row>
    <row r="323">
      <c r="A323" s="29"/>
      <c r="B323" s="53" t="str">
        <f>IFERROR(__xludf.DUMMYFUNCTION("""COMPUTED_VALUE"""),"Biological replicate                    ")</f>
        <v>Biological replicate                    </v>
      </c>
      <c r="C323" s="29" t="str">
        <f>IFERROR(__xludf.DUMMYFUNCTION("""COMPUTED_VALUE"""),"EFO:0002091")</f>
        <v>EFO:0002091</v>
      </c>
      <c r="D323"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E323" s="29"/>
      <c r="F323" s="29"/>
      <c r="G323" s="29"/>
      <c r="H323" s="55" t="s">
        <v>20</v>
      </c>
      <c r="I323" s="55" t="s">
        <v>20</v>
      </c>
      <c r="J323" s="55" t="s">
        <v>20</v>
      </c>
      <c r="K323" s="55" t="str">
        <f t="shared" si="18"/>
        <v>MPox</v>
      </c>
      <c r="M323" s="40"/>
    </row>
    <row r="324" hidden="1">
      <c r="A324" s="29" t="str">
        <f>IFERROR(__xludf.DUMMYFUNCTION("""COMPUTED_VALUE"""),"experimental specimen role type international menu")</f>
        <v>experimental specimen role type international menu</v>
      </c>
      <c r="B324" s="53" t="str">
        <f>IFERROR(__xludf.DUMMYFUNCTION("""COMPUTED_VALUE"""),"                    ")</f>
        <v>                    </v>
      </c>
      <c r="C324" s="29"/>
      <c r="D324" s="29"/>
      <c r="E324" s="29"/>
      <c r="F324" s="29"/>
      <c r="G324" s="29"/>
      <c r="H324" s="56"/>
      <c r="I324" s="56"/>
      <c r="J324" s="56"/>
      <c r="K324" s="59" t="s">
        <v>27</v>
      </c>
      <c r="L324" s="34" t="str">
        <f>LEFT(A324, LEN(A324) - 5)
</f>
        <v>experimental specimen role type international</v>
      </c>
      <c r="M324" s="34" t="str">
        <f>VLOOKUP(L324,'Field Reference Guide'!$B$6:$N$220,13,false)</f>
        <v>#N/A</v>
      </c>
    </row>
    <row r="325" hidden="1">
      <c r="A325" s="29"/>
      <c r="B325" s="53" t="str">
        <f>IFERROR(__xludf.DUMMYFUNCTION("""COMPUTED_VALUE"""),"Positive experimental control [GENEPIO:0101018]                    ")</f>
        <v>Positive experimental control [GENEPIO:0101018]                    </v>
      </c>
      <c r="C325" s="29" t="str">
        <f>IFERROR(__xludf.DUMMYFUNCTION("""COMPUTED_VALUE"""),"GENEPIO:0101018")</f>
        <v>GENEPIO:0101018</v>
      </c>
      <c r="D325" s="29" t="str">
        <f>IFERROR(__xludf.DUMMYFUNCTION("""COMPUTED_VALUE"""),"A control specimen that is expected to yield a positive result, to establish a reference baseline for an experiment.")</f>
        <v>A control specimen that is expected to yield a positive result, to establish a reference baseline for an experiment.</v>
      </c>
      <c r="E325" s="29"/>
      <c r="F325" s="29"/>
      <c r="G325" s="29"/>
      <c r="H325" s="56" t="s">
        <v>20</v>
      </c>
      <c r="I325" s="56" t="s">
        <v>20</v>
      </c>
      <c r="J325" s="56" t="s">
        <v>20</v>
      </c>
      <c r="K325" s="55" t="str">
        <f t="shared" ref="K325:K328" si="19">K324</f>
        <v>International</v>
      </c>
      <c r="M325" s="57" t="s">
        <v>28</v>
      </c>
    </row>
    <row r="326" hidden="1">
      <c r="A326" s="29"/>
      <c r="B326" s="53" t="str">
        <f>IFERROR(__xludf.DUMMYFUNCTION("""COMPUTED_VALUE"""),"Negative experimental control [GENEPIO:0101019]                    ")</f>
        <v>Negative experimental control [GENEPIO:0101019]                    </v>
      </c>
      <c r="C326" s="29" t="str">
        <f>IFERROR(__xludf.DUMMYFUNCTION("""COMPUTED_VALUE"""),"GENEPIO:0101019")</f>
        <v>GENEPIO:0101019</v>
      </c>
      <c r="D326" s="29" t="str">
        <f>IFERROR(__xludf.DUMMYFUNCTION("""COMPUTED_VALUE"""),"A control specimen that is expected to yield a negative result, to establish a reference baseline for an experiment")</f>
        <v>A control specimen that is expected to yield a negative result, to establish a reference baseline for an experiment</v>
      </c>
      <c r="E326" s="29"/>
      <c r="F326" s="29"/>
      <c r="G326" s="29"/>
      <c r="H326" s="56" t="s">
        <v>20</v>
      </c>
      <c r="I326" s="56" t="s">
        <v>20</v>
      </c>
      <c r="J326" s="56" t="s">
        <v>20</v>
      </c>
      <c r="K326" s="55" t="str">
        <f t="shared" si="19"/>
        <v>International</v>
      </c>
      <c r="M326" s="40"/>
    </row>
    <row r="327" hidden="1">
      <c r="A327" s="29"/>
      <c r="B327" s="53" t="str">
        <f>IFERROR(__xludf.DUMMYFUNCTION("""COMPUTED_VALUE"""),"Technical replicate [EFO:0002090]                    ")</f>
        <v>Technical replicate [EFO:0002090]                    </v>
      </c>
      <c r="C327" s="29" t="str">
        <f>IFERROR(__xludf.DUMMYFUNCTION("""COMPUTED_VALUE"""),"EFO:0002090")</f>
        <v>EFO:0002090</v>
      </c>
      <c r="D327" s="29" t="str">
        <f>IFERROR(__xludf.DUMMYFUNCTION("""COMPUTED_VALUE"""),"A technical replicate is a replicate role where the same BioSample is use e.g. the same pool of RNA used to assess technical (as opposed to biological) variation within an experiment.")</f>
        <v>A technical replicate is a replicate role where the same BioSample is use e.g. the same pool of RNA used to assess technical (as opposed to biological) variation within an experiment.</v>
      </c>
      <c r="E327" s="29"/>
      <c r="F327" s="29"/>
      <c r="G327" s="29"/>
      <c r="H327" s="56" t="s">
        <v>20</v>
      </c>
      <c r="I327" s="56" t="s">
        <v>20</v>
      </c>
      <c r="J327" s="56" t="s">
        <v>20</v>
      </c>
      <c r="K327" s="55" t="str">
        <f t="shared" si="19"/>
        <v>International</v>
      </c>
      <c r="M327" s="40"/>
    </row>
    <row r="328" hidden="1">
      <c r="A328" s="34"/>
      <c r="B328" s="53" t="str">
        <f>IFERROR(__xludf.DUMMYFUNCTION("""COMPUTED_VALUE"""),"Biological replicate [EFO:0002091]                    ")</f>
        <v>Biological replicate [EFO:0002091]                    </v>
      </c>
      <c r="C328" s="34" t="str">
        <f>IFERROR(__xludf.DUMMYFUNCTION("""COMPUTED_VALUE"""),"EFO:0002091")</f>
        <v>EFO:0002091</v>
      </c>
      <c r="D328" s="29" t="str">
        <f>IFERROR(__xludf.DUMMYFUNCTION("""COMPUTED_VALUE"""),"A biological replicate is a replicate role that consists of independent biological replicates made from different individual biosamples.")</f>
        <v>A biological replicate is a replicate role that consists of independent biological replicates made from different individual biosamples.</v>
      </c>
      <c r="H328" s="56" t="s">
        <v>20</v>
      </c>
      <c r="I328" s="56" t="s">
        <v>20</v>
      </c>
      <c r="J328" s="56" t="s">
        <v>20</v>
      </c>
      <c r="K328" s="55" t="str">
        <f t="shared" si="19"/>
        <v>International</v>
      </c>
      <c r="M328" s="40"/>
    </row>
    <row r="329">
      <c r="A329" s="34" t="str">
        <f>IFERROR(__xludf.DUMMYFUNCTION("""COMPUTED_VALUE"""),"host (common name) menu")</f>
        <v>host (common name) menu</v>
      </c>
      <c r="B329" s="53" t="str">
        <f>IFERROR(__xludf.DUMMYFUNCTION("""COMPUTED_VALUE"""),"                    ")</f>
        <v>                    </v>
      </c>
      <c r="C329" s="34"/>
      <c r="D329" s="29" t="str">
        <f>IFERROR(__xludf.DUMMYFUNCTION("""COMPUTED_VALUE"""),"")</f>
        <v/>
      </c>
      <c r="E329" s="34"/>
      <c r="F329" s="34"/>
      <c r="G329" s="34"/>
      <c r="H329" s="55"/>
      <c r="I329" s="55"/>
      <c r="J329" s="55"/>
      <c r="K329" s="55" t="s">
        <v>26</v>
      </c>
      <c r="L329" s="34" t="str">
        <f>LEFT(A329, LEN(A329) - 5)
</f>
        <v>host (common name)</v>
      </c>
      <c r="M329" s="34" t="str">
        <f>VLOOKUP(L329,'Field Reference Guide'!$B$6:$N$220,13,false)</f>
        <v>Mpox</v>
      </c>
    </row>
    <row r="330">
      <c r="A330" s="29"/>
      <c r="B330" s="53" t="str">
        <f>IFERROR(__xludf.DUMMYFUNCTION("""COMPUTED_VALUE"""),"Human                    ")</f>
        <v>Human                    </v>
      </c>
      <c r="C330" s="29" t="str">
        <f>IFERROR(__xludf.DUMMYFUNCTION("""COMPUTED_VALUE"""),"NCBITaxon:9606")</f>
        <v>NCBITaxon:9606</v>
      </c>
      <c r="D330" s="29" t="str">
        <f>IFERROR(__xludf.DUMMYFUNCTION("""COMPUTED_VALUE"""),"A bipedal primate mammal of the species Homo sapiens.")</f>
        <v>A bipedal primate mammal of the species Homo sapiens.</v>
      </c>
      <c r="E330" s="29"/>
      <c r="F330" s="29"/>
      <c r="G330" s="29"/>
      <c r="H330" s="30" t="s">
        <v>19</v>
      </c>
      <c r="I330" s="30" t="s">
        <v>19</v>
      </c>
      <c r="J330" s="30" t="s">
        <v>19</v>
      </c>
      <c r="K330" s="55" t="str">
        <f>K329</f>
        <v>Mpox</v>
      </c>
      <c r="M330" s="57" t="s">
        <v>26</v>
      </c>
    </row>
    <row r="331" hidden="1">
      <c r="A331" s="29" t="str">
        <f>IFERROR(__xludf.DUMMYFUNCTION("""COMPUTED_VALUE"""),"host (common name) international menu")</f>
        <v>host (common name) international menu</v>
      </c>
      <c r="B331" s="53" t="str">
        <f>IFERROR(__xludf.DUMMYFUNCTION("""COMPUTED_VALUE"""),"                    ")</f>
        <v>                    </v>
      </c>
      <c r="C331" s="29"/>
      <c r="D331" s="29" t="str">
        <f>IFERROR(__xludf.DUMMYFUNCTION("""COMPUTED_VALUE"""),"")</f>
        <v/>
      </c>
      <c r="E331" s="29"/>
      <c r="F331" s="29"/>
      <c r="G331" s="29"/>
      <c r="H331" s="56"/>
      <c r="I331" s="56"/>
      <c r="J331" s="56"/>
      <c r="K331" s="59" t="s">
        <v>27</v>
      </c>
      <c r="L331" s="34" t="str">
        <f>LEFT(A331, LEN(A331) - 5)
</f>
        <v>host (common name) international</v>
      </c>
      <c r="M331" s="34" t="str">
        <f>VLOOKUP(L331,'Field Reference Guide'!$B$6:$N$220,13,false)</f>
        <v>#N/A</v>
      </c>
    </row>
    <row r="332" hidden="1">
      <c r="A332" s="34"/>
      <c r="B332" s="53" t="str">
        <f>IFERROR(__xludf.DUMMYFUNCTION("""COMPUTED_VALUE"""),"Human [NCBITaxon:9606]                    ")</f>
        <v>Human [NCBITaxon:9606]                    </v>
      </c>
      <c r="C332" s="34" t="str">
        <f>IFERROR(__xludf.DUMMYFUNCTION("""COMPUTED_VALUE"""),"NCBITaxon:9606")</f>
        <v>NCBITaxon:9606</v>
      </c>
      <c r="D332" s="29" t="str">
        <f>IFERROR(__xludf.DUMMYFUNCTION("""COMPUTED_VALUE"""),"A bipedal primate mammal of the species Homo sapiens.")</f>
        <v>A bipedal primate mammal of the species Homo sapiens.</v>
      </c>
      <c r="H332" s="55" t="s">
        <v>19</v>
      </c>
      <c r="I332" s="55" t="s">
        <v>19</v>
      </c>
      <c r="J332" s="55" t="s">
        <v>19</v>
      </c>
      <c r="K332" s="55" t="str">
        <f t="shared" ref="K332:K337" si="20">K331</f>
        <v>International</v>
      </c>
      <c r="M332" s="57" t="s">
        <v>28</v>
      </c>
    </row>
    <row r="333" hidden="1">
      <c r="A333" s="34"/>
      <c r="B333" s="53" t="str">
        <f>IFERROR(__xludf.DUMMYFUNCTION("""COMPUTED_VALUE"""),"Rodent [NCBITaxon:9989]                    ")</f>
        <v>Rodent [NCBITaxon:9989]                    </v>
      </c>
      <c r="C333" s="34" t="str">
        <f>IFERROR(__xludf.DUMMYFUNCTION("""COMPUTED_VALUE"""),"NCBITaxon:9989")</f>
        <v>NCBITaxon:9989</v>
      </c>
      <c r="D333" s="29" t="str">
        <f>IFERROR(__xludf.DUMMYFUNCTION("""COMPUTED_VALUE"""),"A mammal of the order Rodentia which are characterized by a single pair of continuously growing incisors in each of the upper and lower jaws. ")</f>
        <v>A mammal of the order Rodentia which are characterized by a single pair of continuously growing incisors in each of the upper and lower jaws. </v>
      </c>
      <c r="H333" s="55" t="s">
        <v>19</v>
      </c>
      <c r="I333" s="55" t="s">
        <v>19</v>
      </c>
      <c r="J333" s="55" t="s">
        <v>19</v>
      </c>
      <c r="K333" s="55" t="str">
        <f t="shared" si="20"/>
        <v>International</v>
      </c>
      <c r="M333" s="40"/>
    </row>
    <row r="334" hidden="1">
      <c r="A334" s="34"/>
      <c r="B334" s="53" t="str">
        <f>IFERROR(__xludf.DUMMYFUNCTION("""COMPUTED_VALUE"""),"     Mouse [NCBITaxon:10090]               ")</f>
        <v>     Mouse [NCBITaxon:10090]               </v>
      </c>
      <c r="C334" s="34" t="str">
        <f>IFERROR(__xludf.DUMMYFUNCTION("""COMPUTED_VALUE"""),"NCBITaxon:10090")</f>
        <v>NCBITaxon:10090</v>
      </c>
      <c r="D334" s="29" t="str">
        <f>IFERROR(__xludf.DUMMYFUNCTION("""COMPUTED_VALUE"""),"A small rodent that typically has a pointed snout, small rounded ears, a body-length scaly tail, and a high breeding rate. ")</f>
        <v>A small rodent that typically has a pointed snout, small rounded ears, a body-length scaly tail, and a high breeding rate. </v>
      </c>
      <c r="H334" s="55" t="s">
        <v>19</v>
      </c>
      <c r="I334" s="55" t="s">
        <v>19</v>
      </c>
      <c r="J334" s="55" t="s">
        <v>19</v>
      </c>
      <c r="K334" s="55" t="str">
        <f t="shared" si="20"/>
        <v>International</v>
      </c>
      <c r="M334" s="40"/>
    </row>
    <row r="335" hidden="1">
      <c r="A335" s="34"/>
      <c r="B335" s="53" t="str">
        <f>IFERROR(__xludf.DUMMYFUNCTION("""COMPUTED_VALUE"""),"     Prairie Dog [NCBITaxon:45478]               ")</f>
        <v>     Prairie Dog [NCBITaxon:45478]               </v>
      </c>
      <c r="C335" s="34" t="str">
        <f>IFERROR(__xludf.DUMMYFUNCTION("""COMPUTED_VALUE"""),"NCBITaxon:45478")</f>
        <v>NCBITaxon:45478</v>
      </c>
      <c r="D335" s="29" t="str">
        <f>IFERROR(__xludf.DUMMYFUNCTION("""COMPUTED_VALUE"""),"A herbivorous burrowing ground squirrels native to the grasslands of North America.")</f>
        <v>A herbivorous burrowing ground squirrels native to the grasslands of North America.</v>
      </c>
      <c r="H335" s="55" t="s">
        <v>19</v>
      </c>
      <c r="I335" s="55" t="s">
        <v>19</v>
      </c>
      <c r="J335" s="55" t="s">
        <v>19</v>
      </c>
      <c r="K335" s="55" t="str">
        <f t="shared" si="20"/>
        <v>International</v>
      </c>
      <c r="M335" s="40"/>
    </row>
    <row r="336" hidden="1">
      <c r="A336" s="34"/>
      <c r="B336" s="53" t="str">
        <f>IFERROR(__xludf.DUMMYFUNCTION("""COMPUTED_VALUE"""),"     Rat [NCBITaxon:10116]               ")</f>
        <v>     Rat [NCBITaxon:10116]               </v>
      </c>
      <c r="C336" s="34" t="str">
        <f>IFERROR(__xludf.DUMMYFUNCTION("""COMPUTED_VALUE"""),"NCBITaxon:10116")</f>
        <v>NCBITaxon:10116</v>
      </c>
      <c r="D336" s="29" t="str">
        <f>IFERROR(__xludf.DUMMYFUNCTION("""COMPUTED_VALUE"""),"A medium sized rodent that typically is long tailed.")</f>
        <v>A medium sized rodent that typically is long tailed.</v>
      </c>
      <c r="H336" s="55" t="s">
        <v>19</v>
      </c>
      <c r="I336" s="55" t="s">
        <v>19</v>
      </c>
      <c r="J336" s="55" t="s">
        <v>19</v>
      </c>
      <c r="K336" s="55" t="str">
        <f t="shared" si="20"/>
        <v>International</v>
      </c>
      <c r="M336" s="40"/>
    </row>
    <row r="337" hidden="1">
      <c r="A337" s="34"/>
      <c r="B337" s="53" t="str">
        <f>IFERROR(__xludf.DUMMYFUNCTION("""COMPUTED_VALUE"""),"     Squirrel [FOODON:03411389]               ")</f>
        <v>     Squirrel [FOODON:03411389]               </v>
      </c>
      <c r="C337" s="34" t="str">
        <f>IFERROR(__xludf.DUMMYFUNCTION("""COMPUTED_VALUE"""),"FOODON:03411389")</f>
        <v>FOODON:03411389</v>
      </c>
      <c r="D337" s="29" t="str">
        <f>IFERROR(__xludf.DUMMYFUNCTION("""COMPUTED_VALUE"""),"A small to medium-sized rodent belonging to the family Sciuridae, characterized by a bushy tail, sharp claws, and strong hind legs, commonly found in trees, but some species live on the ground")</f>
        <v>A small to medium-sized rodent belonging to the family Sciuridae, characterized by a bushy tail, sharp claws, and strong hind legs, commonly found in trees, but some species live on the ground</v>
      </c>
      <c r="H337" s="55" t="s">
        <v>19</v>
      </c>
      <c r="I337" s="55" t="s">
        <v>19</v>
      </c>
      <c r="J337" s="55" t="s">
        <v>19</v>
      </c>
      <c r="K337" s="55" t="str">
        <f t="shared" si="20"/>
        <v>International</v>
      </c>
      <c r="M337" s="40"/>
    </row>
    <row r="338">
      <c r="A338" s="29" t="str">
        <f>IFERROR(__xludf.DUMMYFUNCTION("""COMPUTED_VALUE"""),"host (scientific name) menu")</f>
        <v>host (scientific name) menu</v>
      </c>
      <c r="B338" s="53" t="str">
        <f>IFERROR(__xludf.DUMMYFUNCTION("""COMPUTED_VALUE"""),"                    ")</f>
        <v>                    </v>
      </c>
      <c r="C338" s="29"/>
      <c r="D338" s="29" t="str">
        <f>IFERROR(__xludf.DUMMYFUNCTION("""COMPUTED_VALUE"""),"")</f>
        <v/>
      </c>
      <c r="E338" s="29"/>
      <c r="F338" s="29"/>
      <c r="G338" s="29"/>
      <c r="H338" s="29"/>
      <c r="I338" s="29"/>
      <c r="J338" s="29"/>
      <c r="K338" s="34" t="str">
        <f>VLOOKUP(L338,'Field Reference Guide'!$B$7:$N$207,13,false)</f>
        <v>Mpox</v>
      </c>
      <c r="L338" s="34" t="str">
        <f>LEFT(A338, LEN(A338) - 5)
</f>
        <v>host (scientific name)</v>
      </c>
      <c r="M338" s="34" t="str">
        <f>VLOOKUP(L338,'Field Reference Guide'!$B$6:$N$220,13,false)</f>
        <v>Mpox</v>
      </c>
    </row>
    <row r="339">
      <c r="A339" s="29"/>
      <c r="B339" s="53" t="str">
        <f>IFERROR(__xludf.DUMMYFUNCTION("""COMPUTED_VALUE"""),"Homo sapiens                    ")</f>
        <v>Homo sapiens                    </v>
      </c>
      <c r="C339" s="29" t="str">
        <f>IFERROR(__xludf.DUMMYFUNCTION("""COMPUTED_VALUE"""),"NCBITaxon:9606")</f>
        <v>NCBITaxon:9606</v>
      </c>
      <c r="D339" s="29" t="str">
        <f>IFERROR(__xludf.DUMMYFUNCTION("""COMPUTED_VALUE"""),"A type of primate characterized by bipedalism and large, complex brain.")</f>
        <v>A type of primate characterized by bipedalism and large, complex brain.</v>
      </c>
      <c r="E339" s="29"/>
      <c r="F339" s="29"/>
      <c r="G339" s="29"/>
      <c r="H339" s="56" t="s">
        <v>19</v>
      </c>
      <c r="I339" s="56" t="s">
        <v>19</v>
      </c>
      <c r="J339" s="56" t="s">
        <v>19</v>
      </c>
      <c r="K339" s="55" t="str">
        <f>K338</f>
        <v>Mpox</v>
      </c>
      <c r="M339" s="57" t="s">
        <v>26</v>
      </c>
    </row>
    <row r="340" hidden="1">
      <c r="A340" s="29" t="str">
        <f>IFERROR(__xludf.DUMMYFUNCTION("""COMPUTED_VALUE"""),"host (scientific name) international menu")</f>
        <v>host (scientific name) international menu</v>
      </c>
      <c r="B340" s="53" t="str">
        <f>IFERROR(__xludf.DUMMYFUNCTION("""COMPUTED_VALUE"""),"                    ")</f>
        <v>                    </v>
      </c>
      <c r="C340" s="29"/>
      <c r="D340" s="29" t="str">
        <f>IFERROR(__xludf.DUMMYFUNCTION("""COMPUTED_VALUE"""),"")</f>
        <v/>
      </c>
      <c r="E340" s="29"/>
      <c r="F340" s="29"/>
      <c r="G340" s="29"/>
      <c r="H340" s="56"/>
      <c r="I340" s="56"/>
      <c r="J340" s="56"/>
      <c r="K340" s="59" t="s">
        <v>27</v>
      </c>
      <c r="L340" s="34" t="str">
        <f>LEFT(A340, LEN(A340) - 5)
</f>
        <v>host (scientific name) international</v>
      </c>
      <c r="M340" s="34" t="str">
        <f>VLOOKUP(L340,'Field Reference Guide'!$B$6:$N$220,13,false)</f>
        <v>#N/A</v>
      </c>
    </row>
    <row r="341" hidden="1">
      <c r="A341" s="29"/>
      <c r="B341" s="53" t="str">
        <f>IFERROR(__xludf.DUMMYFUNCTION("""COMPUTED_VALUE"""),"Homo sapiens [NCBITaxon:9606]                    ")</f>
        <v>Homo sapiens [NCBITaxon:9606]                    </v>
      </c>
      <c r="C341" s="29" t="str">
        <f>IFERROR(__xludf.DUMMYFUNCTION("""COMPUTED_VALUE"""),"NCBITaxon:9606")</f>
        <v>NCBITaxon:9606</v>
      </c>
      <c r="D341" s="29" t="str">
        <f>IFERROR(__xludf.DUMMYFUNCTION("""COMPUTED_VALUE"""),"A bipedal primate mammal of the species Homo sapiens.")</f>
        <v>A bipedal primate mammal of the species Homo sapiens.</v>
      </c>
      <c r="E341" s="29"/>
      <c r="F341" s="29"/>
      <c r="G341" s="29"/>
      <c r="H341" s="56" t="s">
        <v>19</v>
      </c>
      <c r="I341" s="56" t="s">
        <v>19</v>
      </c>
      <c r="J341" s="56" t="s">
        <v>19</v>
      </c>
      <c r="K341" s="55" t="str">
        <f>K340</f>
        <v>International</v>
      </c>
      <c r="M341" s="57" t="s">
        <v>28</v>
      </c>
    </row>
    <row r="342">
      <c r="A342" s="29" t="str">
        <f>IFERROR(__xludf.DUMMYFUNCTION("""COMPUTED_VALUE"""),"host health state menu")</f>
        <v>host health state menu</v>
      </c>
      <c r="B342" s="53" t="str">
        <f>IFERROR(__xludf.DUMMYFUNCTION("""COMPUTED_VALUE"""),"                    ")</f>
        <v>                    </v>
      </c>
      <c r="C342" s="29"/>
      <c r="D342" s="29" t="str">
        <f>IFERROR(__xludf.DUMMYFUNCTION("""COMPUTED_VALUE"""),"")</f>
        <v/>
      </c>
      <c r="E342" s="29"/>
      <c r="F342" s="29"/>
      <c r="G342" s="29"/>
      <c r="H342" s="56"/>
      <c r="I342" s="56"/>
      <c r="J342" s="56"/>
      <c r="K342" s="35" t="s">
        <v>29</v>
      </c>
      <c r="L342" s="34" t="str">
        <f>LEFT(A342, LEN(A342) - 5)
</f>
        <v>host health state</v>
      </c>
      <c r="M342" s="34" t="str">
        <f>VLOOKUP(L342,'Field Reference Guide'!$B$6:$N$220,13,false)</f>
        <v>Mpox</v>
      </c>
    </row>
    <row r="343">
      <c r="A343" s="29"/>
      <c r="B343" s="53" t="str">
        <f>IFERROR(__xludf.DUMMYFUNCTION("""COMPUTED_VALUE"""),"Asymptomatic                    ")</f>
        <v>Asymptomatic                    </v>
      </c>
      <c r="C343" s="29" t="str">
        <f>IFERROR(__xludf.DUMMYFUNCTION("""COMPUTED_VALUE"""),"NCIT:C3833")</f>
        <v>NCIT:C3833</v>
      </c>
      <c r="D343" s="29" t="str">
        <f>IFERROR(__xludf.DUMMYFUNCTION("""COMPUTED_VALUE"""),"Without clinical signs or indications that raise the possibility of a particular disorder or dysfunction.")</f>
        <v>Without clinical signs or indications that raise the possibility of a particular disorder or dysfunction.</v>
      </c>
      <c r="E343" s="29"/>
      <c r="F343" s="29"/>
      <c r="G343" s="29"/>
      <c r="H343" s="56" t="s">
        <v>19</v>
      </c>
      <c r="I343" s="56" t="s">
        <v>19</v>
      </c>
      <c r="J343" s="56" t="s">
        <v>19</v>
      </c>
      <c r="K343" s="55" t="str">
        <f t="shared" ref="K343:K347" si="21">K342</f>
        <v>MPox</v>
      </c>
      <c r="M343" s="57" t="s">
        <v>26</v>
      </c>
    </row>
    <row r="344">
      <c r="A344" s="34"/>
      <c r="B344" s="53" t="str">
        <f>IFERROR(__xludf.DUMMYFUNCTION("""COMPUTED_VALUE"""),"Deceased                    ")</f>
        <v>Deceased                    </v>
      </c>
      <c r="C344" s="34" t="str">
        <f>IFERROR(__xludf.DUMMYFUNCTION("""COMPUTED_VALUE"""),"NCIT:C28554")</f>
        <v>NCIT:C28554</v>
      </c>
      <c r="D344" s="29" t="str">
        <f>IFERROR(__xludf.DUMMYFUNCTION("""COMPUTED_VALUE"""),"The cessation of life.")</f>
        <v>The cessation of life.</v>
      </c>
      <c r="K344" s="55" t="str">
        <f t="shared" si="21"/>
        <v>MPox</v>
      </c>
      <c r="M344" s="40"/>
    </row>
    <row r="345">
      <c r="A345" s="34"/>
      <c r="B345" s="53" t="str">
        <f>IFERROR(__xludf.DUMMYFUNCTION("""COMPUTED_VALUE"""),"Healthy                    ")</f>
        <v>Healthy                    </v>
      </c>
      <c r="C345" s="34" t="str">
        <f>IFERROR(__xludf.DUMMYFUNCTION("""COMPUTED_VALUE"""),"NCIT:C115935")</f>
        <v>NCIT:C115935</v>
      </c>
      <c r="D345" s="29" t="str">
        <f>IFERROR(__xludf.DUMMYFUNCTION("""COMPUTED_VALUE"""),"Having no significant health-related issues.")</f>
        <v>Having no significant health-related issues.</v>
      </c>
      <c r="H345" s="55" t="s">
        <v>19</v>
      </c>
      <c r="I345" s="55" t="s">
        <v>19</v>
      </c>
      <c r="J345" s="55" t="s">
        <v>19</v>
      </c>
      <c r="K345" s="55" t="str">
        <f t="shared" si="21"/>
        <v>MPox</v>
      </c>
      <c r="M345" s="40"/>
    </row>
    <row r="346">
      <c r="A346" s="34"/>
      <c r="B346" s="53" t="str">
        <f>IFERROR(__xludf.DUMMYFUNCTION("""COMPUTED_VALUE"""),"Recovered                    ")</f>
        <v>Recovered                    </v>
      </c>
      <c r="C346" s="34" t="str">
        <f>IFERROR(__xludf.DUMMYFUNCTION("""COMPUTED_VALUE"""),"NCIT:C49498")</f>
        <v>NCIT:C49498</v>
      </c>
      <c r="D346"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46" s="55" t="s">
        <v>19</v>
      </c>
      <c r="I346" s="55" t="s">
        <v>19</v>
      </c>
      <c r="J346" s="55" t="s">
        <v>19</v>
      </c>
      <c r="K346" s="55" t="str">
        <f t="shared" si="21"/>
        <v>MPox</v>
      </c>
      <c r="M346" s="40"/>
    </row>
    <row r="347">
      <c r="A347" s="34"/>
      <c r="B347" s="53" t="str">
        <f>IFERROR(__xludf.DUMMYFUNCTION("""COMPUTED_VALUE"""),"Symptomatic                    ")</f>
        <v>Symptomatic                    </v>
      </c>
      <c r="C347" s="34" t="str">
        <f>IFERROR(__xludf.DUMMYFUNCTION("""COMPUTED_VALUE"""),"NCIT:C25269")</f>
        <v>NCIT:C25269</v>
      </c>
      <c r="D347" s="29" t="str">
        <f>IFERROR(__xludf.DUMMYFUNCTION("""COMPUTED_VALUE"""),"Exhibiting the symptoms of a particular disease.")</f>
        <v>Exhibiting the symptoms of a particular disease.</v>
      </c>
      <c r="H347" s="55" t="s">
        <v>19</v>
      </c>
      <c r="I347" s="55" t="s">
        <v>19</v>
      </c>
      <c r="J347" s="55" t="s">
        <v>19</v>
      </c>
      <c r="K347" s="55" t="str">
        <f t="shared" si="21"/>
        <v>MPox</v>
      </c>
      <c r="M347" s="40"/>
    </row>
    <row r="348" hidden="1">
      <c r="A348" s="34" t="str">
        <f>IFERROR(__xludf.DUMMYFUNCTION("""COMPUTED_VALUE"""),"host health state international menu")</f>
        <v>host health state international menu</v>
      </c>
      <c r="B348" s="53" t="str">
        <f>IFERROR(__xludf.DUMMYFUNCTION("""COMPUTED_VALUE"""),"                    ")</f>
        <v>                    </v>
      </c>
      <c r="C348" s="34"/>
      <c r="D348" s="29" t="str">
        <f>IFERROR(__xludf.DUMMYFUNCTION("""COMPUTED_VALUE"""),"")</f>
        <v/>
      </c>
      <c r="E348" s="34"/>
      <c r="F348" s="34"/>
      <c r="G348" s="34"/>
      <c r="H348" s="55"/>
      <c r="I348" s="55"/>
      <c r="J348" s="55"/>
      <c r="K348" s="59" t="s">
        <v>27</v>
      </c>
      <c r="L348" s="34" t="str">
        <f>LEFT(A348, LEN(A348) - 5)
</f>
        <v>host health state international</v>
      </c>
      <c r="M348" s="34" t="str">
        <f>VLOOKUP(L348,'Field Reference Guide'!$B$6:$N$220,13,false)</f>
        <v>#N/A</v>
      </c>
    </row>
    <row r="349" hidden="1">
      <c r="A349" s="34"/>
      <c r="B349" s="53" t="str">
        <f>IFERROR(__xludf.DUMMYFUNCTION("""COMPUTED_VALUE"""),"Asymptomatic [NCIT:C3833]                    ")</f>
        <v>Asymptomatic [NCIT:C3833]                    </v>
      </c>
      <c r="C349" s="34" t="str">
        <f>IFERROR(__xludf.DUMMYFUNCTION("""COMPUTED_VALUE"""),"NCIT:C3833")</f>
        <v>NCIT:C3833</v>
      </c>
      <c r="D349" s="29" t="str">
        <f>IFERROR(__xludf.DUMMYFUNCTION("""COMPUTED_VALUE"""),"Without clinical signs or indications that raise the possibility of a particular disorder or dysfunction.")</f>
        <v>Without clinical signs or indications that raise the possibility of a particular disorder or dysfunction.</v>
      </c>
      <c r="H349" s="55" t="s">
        <v>19</v>
      </c>
      <c r="I349" s="55" t="s">
        <v>19</v>
      </c>
      <c r="J349" s="55" t="s">
        <v>19</v>
      </c>
      <c r="K349" s="55" t="str">
        <f t="shared" ref="K349:K353" si="22">K348</f>
        <v>International</v>
      </c>
      <c r="M349" s="57" t="s">
        <v>28</v>
      </c>
    </row>
    <row r="350" hidden="1">
      <c r="A350" s="34"/>
      <c r="B350" s="53" t="str">
        <f>IFERROR(__xludf.DUMMYFUNCTION("""COMPUTED_VALUE"""),"Deceased [NCIT:C28554]                    ")</f>
        <v>Deceased [NCIT:C28554]                    </v>
      </c>
      <c r="C350" s="34" t="str">
        <f>IFERROR(__xludf.DUMMYFUNCTION("""COMPUTED_VALUE"""),"NCIT:C28554")</f>
        <v>NCIT:C28554</v>
      </c>
      <c r="D350" s="29" t="str">
        <f>IFERROR(__xludf.DUMMYFUNCTION("""COMPUTED_VALUE"""),"The cessation of life.")</f>
        <v>The cessation of life.</v>
      </c>
      <c r="H350" s="55" t="s">
        <v>19</v>
      </c>
      <c r="I350" s="55" t="s">
        <v>19</v>
      </c>
      <c r="J350" s="55" t="s">
        <v>19</v>
      </c>
      <c r="K350" s="55" t="str">
        <f t="shared" si="22"/>
        <v>International</v>
      </c>
      <c r="M350" s="40"/>
    </row>
    <row r="351" hidden="1">
      <c r="A351" s="29"/>
      <c r="B351" s="53" t="str">
        <f>IFERROR(__xludf.DUMMYFUNCTION("""COMPUTED_VALUE"""),"Healthy [NCIT:C115935]                    ")</f>
        <v>Healthy [NCIT:C115935]                    </v>
      </c>
      <c r="C351" s="29" t="str">
        <f>IFERROR(__xludf.DUMMYFUNCTION("""COMPUTED_VALUE"""),"NCIT:C115935")</f>
        <v>NCIT:C115935</v>
      </c>
      <c r="D351" s="29" t="str">
        <f>IFERROR(__xludf.DUMMYFUNCTION("""COMPUTED_VALUE"""),"Having no significant health-related issues.")</f>
        <v>Having no significant health-related issues.</v>
      </c>
      <c r="E351" s="29"/>
      <c r="F351" s="29"/>
      <c r="G351" s="29"/>
      <c r="H351" s="29"/>
      <c r="I351" s="29"/>
      <c r="J351" s="29"/>
      <c r="K351" s="55" t="str">
        <f t="shared" si="22"/>
        <v>International</v>
      </c>
      <c r="M351" s="40"/>
    </row>
    <row r="352" hidden="1">
      <c r="A352" s="29"/>
      <c r="B352" s="53" t="str">
        <f>IFERROR(__xludf.DUMMYFUNCTION("""COMPUTED_VALUE"""),"Recovered [NCIT:C49498]                    ")</f>
        <v>Recovered [NCIT:C49498]                    </v>
      </c>
      <c r="C352" s="29" t="str">
        <f>IFERROR(__xludf.DUMMYFUNCTION("""COMPUTED_VALUE"""),"NCIT:C49498")</f>
        <v>NCIT:C49498</v>
      </c>
      <c r="D352"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E352" s="29"/>
      <c r="F352" s="29"/>
      <c r="G352" s="29"/>
      <c r="H352" s="56" t="s">
        <v>19</v>
      </c>
      <c r="I352" s="56" t="s">
        <v>19</v>
      </c>
      <c r="J352" s="56" t="s">
        <v>19</v>
      </c>
      <c r="K352" s="55" t="str">
        <f t="shared" si="22"/>
        <v>International</v>
      </c>
      <c r="M352" s="40"/>
    </row>
    <row r="353" hidden="1">
      <c r="A353" s="29"/>
      <c r="B353" s="53" t="str">
        <f>IFERROR(__xludf.DUMMYFUNCTION("""COMPUTED_VALUE"""),"Symptomatic [NCIT:C25269]                    ")</f>
        <v>Symptomatic [NCIT:C25269]                    </v>
      </c>
      <c r="C353" s="29" t="str">
        <f>IFERROR(__xludf.DUMMYFUNCTION("""COMPUTED_VALUE"""),"NCIT:C25269")</f>
        <v>NCIT:C25269</v>
      </c>
      <c r="D353" s="29" t="str">
        <f>IFERROR(__xludf.DUMMYFUNCTION("""COMPUTED_VALUE"""),"Exhibiting the symptoms of a particular disease.")</f>
        <v>Exhibiting the symptoms of a particular disease.</v>
      </c>
      <c r="E353" s="29"/>
      <c r="F353" s="29"/>
      <c r="G353" s="29"/>
      <c r="H353" s="56" t="s">
        <v>19</v>
      </c>
      <c r="I353" s="56" t="s">
        <v>19</v>
      </c>
      <c r="J353" s="56" t="s">
        <v>19</v>
      </c>
      <c r="K353" s="55" t="str">
        <f t="shared" si="22"/>
        <v>International</v>
      </c>
      <c r="M353" s="40"/>
    </row>
    <row r="354">
      <c r="A354" s="29" t="str">
        <f>IFERROR(__xludf.DUMMYFUNCTION("""COMPUTED_VALUE"""),"host health status details menu")</f>
        <v>host health status details menu</v>
      </c>
      <c r="B354" s="53" t="str">
        <f>IFERROR(__xludf.DUMMYFUNCTION("""COMPUTED_VALUE"""),"                    ")</f>
        <v>                    </v>
      </c>
      <c r="C354" s="29"/>
      <c r="D354" s="29" t="str">
        <f>IFERROR(__xludf.DUMMYFUNCTION("""COMPUTED_VALUE"""),"")</f>
        <v/>
      </c>
      <c r="E354" s="29"/>
      <c r="F354" s="29"/>
      <c r="G354" s="29"/>
      <c r="H354" s="56"/>
      <c r="I354" s="56"/>
      <c r="J354" s="56"/>
      <c r="K354" s="35" t="s">
        <v>29</v>
      </c>
      <c r="L354" s="34" t="str">
        <f>LEFT(A354, LEN(A354) - 5)
</f>
        <v>host health status details</v>
      </c>
      <c r="M354" s="34" t="str">
        <f>VLOOKUP(L354,'Field Reference Guide'!$B$6:$N$220,13,false)</f>
        <v>Mpox</v>
      </c>
    </row>
    <row r="355">
      <c r="A355" s="29"/>
      <c r="B355" s="53" t="str">
        <f>IFERROR(__xludf.DUMMYFUNCTION("""COMPUTED_VALUE"""),"Hospitalized                    ")</f>
        <v>Hospitalized                    </v>
      </c>
      <c r="C355" s="29" t="str">
        <f>IFERROR(__xludf.DUMMYFUNCTION("""COMPUTED_VALUE"""),"NCIT:C25179")</f>
        <v>NCIT:C25179</v>
      </c>
      <c r="D355" s="29" t="str">
        <f>IFERROR(__xludf.DUMMYFUNCTION("""COMPUTED_VALUE"""),"The condition of being treated as a patient in a hospital.")</f>
        <v>The condition of being treated as a patient in a hospital.</v>
      </c>
      <c r="E355" s="29"/>
      <c r="F355" s="29"/>
      <c r="G355" s="29"/>
      <c r="H355" s="56" t="s">
        <v>19</v>
      </c>
      <c r="I355" s="56" t="s">
        <v>19</v>
      </c>
      <c r="J355" s="56" t="s">
        <v>19</v>
      </c>
      <c r="K355" s="55" t="str">
        <f t="shared" ref="K355:K360" si="23">K354</f>
        <v>MPox</v>
      </c>
      <c r="M355" s="57" t="s">
        <v>26</v>
      </c>
    </row>
    <row r="356">
      <c r="A356" s="29"/>
      <c r="B356" s="53" t="str">
        <f>IFERROR(__xludf.DUMMYFUNCTION("""COMPUTED_VALUE"""),"     Hospitalized (Non-ICU)               ")</f>
        <v>     Hospitalized (Non-ICU)               </v>
      </c>
      <c r="C356" s="29" t="str">
        <f>IFERROR(__xludf.DUMMYFUNCTION("""COMPUTED_VALUE"""),"GENEPIO:0100045")</f>
        <v>GENEPIO:0100045</v>
      </c>
      <c r="D356" s="29" t="str">
        <f>IFERROR(__xludf.DUMMYFUNCTION("""COMPUTED_VALUE"""),"The condition of being treated as a patient in a hospital without admission to an intensive care unit (ICU).")</f>
        <v>The condition of being treated as a patient in a hospital without admission to an intensive care unit (ICU).</v>
      </c>
      <c r="E356" s="29"/>
      <c r="F356" s="29"/>
      <c r="G356" s="29"/>
      <c r="H356" s="56" t="s">
        <v>19</v>
      </c>
      <c r="I356" s="56" t="s">
        <v>19</v>
      </c>
      <c r="J356" s="56" t="s">
        <v>19</v>
      </c>
      <c r="K356" s="55" t="str">
        <f t="shared" si="23"/>
        <v>MPox</v>
      </c>
      <c r="M356" s="40"/>
    </row>
    <row r="357">
      <c r="A357" s="29"/>
      <c r="B357" s="53" t="str">
        <f>IFERROR(__xludf.DUMMYFUNCTION("""COMPUTED_VALUE"""),"     Hospitalized (ICU)               ")</f>
        <v>     Hospitalized (ICU)               </v>
      </c>
      <c r="C357" s="29" t="str">
        <f>IFERROR(__xludf.DUMMYFUNCTION("""COMPUTED_VALUE"""),"GENEPIO:0100046")</f>
        <v>GENEPIO:0100046</v>
      </c>
      <c r="D357" s="29" t="str">
        <f>IFERROR(__xludf.DUMMYFUNCTION("""COMPUTED_VALUE"""),"The condition of being treated as a patient in a hospital intensive care unit (ICU).")</f>
        <v>The condition of being treated as a patient in a hospital intensive care unit (ICU).</v>
      </c>
      <c r="E357" s="29"/>
      <c r="F357" s="29"/>
      <c r="G357" s="29"/>
      <c r="H357" s="56" t="s">
        <v>19</v>
      </c>
      <c r="I357" s="56" t="s">
        <v>19</v>
      </c>
      <c r="J357" s="56" t="s">
        <v>19</v>
      </c>
      <c r="K357" s="55" t="str">
        <f t="shared" si="23"/>
        <v>MPox</v>
      </c>
      <c r="M357" s="40"/>
    </row>
    <row r="358">
      <c r="A358" s="34"/>
      <c r="B358" s="53" t="str">
        <f>IFERROR(__xludf.DUMMYFUNCTION("""COMPUTED_VALUE"""),"Medically Isolated                    ")</f>
        <v>Medically Isolated                    </v>
      </c>
      <c r="C358" s="34" t="str">
        <f>IFERROR(__xludf.DUMMYFUNCTION("""COMPUTED_VALUE"""),"GENEPIO:0100047")</f>
        <v>GENEPIO:0100047</v>
      </c>
      <c r="D358" s="29" t="str">
        <f>IFERROR(__xludf.DUMMYFUNCTION("""COMPUTED_VALUE"""),"Separation of people with a contagious disease from population to reduce the spread of the disease.")</f>
        <v>Separation of people with a contagious disease from population to reduce the spread of the disease.</v>
      </c>
      <c r="K358" s="55" t="str">
        <f t="shared" si="23"/>
        <v>MPox</v>
      </c>
      <c r="M358" s="40"/>
    </row>
    <row r="359">
      <c r="A359" s="34"/>
      <c r="B359" s="53" t="str">
        <f>IFERROR(__xludf.DUMMYFUNCTION("""COMPUTED_VALUE"""),"     Medically Isolated (Negative Pressure)               ")</f>
        <v>     Medically Isolated (Negative Pressure)               </v>
      </c>
      <c r="C359" s="34" t="str">
        <f>IFERROR(__xludf.DUMMYFUNCTION("""COMPUTED_VALUE"""),"GENEPIO:0100048")</f>
        <v>GENEPIO:0100048</v>
      </c>
      <c r="D359"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H359" s="55" t="s">
        <v>19</v>
      </c>
      <c r="I359" s="55" t="s">
        <v>19</v>
      </c>
      <c r="J359" s="55" t="s">
        <v>19</v>
      </c>
      <c r="K359" s="55" t="str">
        <f t="shared" si="23"/>
        <v>MPox</v>
      </c>
      <c r="M359" s="40"/>
    </row>
    <row r="360">
      <c r="A360" s="34"/>
      <c r="B360" s="53" t="str">
        <f>IFERROR(__xludf.DUMMYFUNCTION("""COMPUTED_VALUE"""),"Self-quarantining                    ")</f>
        <v>Self-quarantining                    </v>
      </c>
      <c r="C360" s="34" t="str">
        <f>IFERROR(__xludf.DUMMYFUNCTION("""COMPUTED_VALUE"""),"NCIT:C173768")</f>
        <v>NCIT:C173768</v>
      </c>
      <c r="D360"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H360" s="55" t="s">
        <v>19</v>
      </c>
      <c r="I360" s="55" t="s">
        <v>19</v>
      </c>
      <c r="J360" s="55" t="s">
        <v>19</v>
      </c>
      <c r="K360" s="55" t="str">
        <f t="shared" si="23"/>
        <v>MPox</v>
      </c>
      <c r="M360" s="40"/>
    </row>
    <row r="361" hidden="1">
      <c r="A361" s="34" t="str">
        <f>IFERROR(__xludf.DUMMYFUNCTION("""COMPUTED_VALUE"""),"host health status details international menu")</f>
        <v>host health status details international menu</v>
      </c>
      <c r="B361" s="53" t="str">
        <f>IFERROR(__xludf.DUMMYFUNCTION("""COMPUTED_VALUE"""),"                    ")</f>
        <v>                    </v>
      </c>
      <c r="C361" s="34"/>
      <c r="D361" s="29" t="str">
        <f>IFERROR(__xludf.DUMMYFUNCTION("""COMPUTED_VALUE"""),"")</f>
        <v/>
      </c>
      <c r="E361" s="34"/>
      <c r="F361" s="34"/>
      <c r="G361" s="34"/>
      <c r="H361" s="55"/>
      <c r="I361" s="55"/>
      <c r="J361" s="55"/>
      <c r="K361" s="59" t="s">
        <v>27</v>
      </c>
      <c r="L361" s="34" t="str">
        <f>LEFT(A361, LEN(A361) - 5)
</f>
        <v>host health status details international</v>
      </c>
      <c r="M361" s="34" t="str">
        <f>VLOOKUP(L361,'Field Reference Guide'!$B$6:$N$220,13,false)</f>
        <v>#N/A</v>
      </c>
    </row>
    <row r="362" hidden="1">
      <c r="A362" s="34"/>
      <c r="B362" s="53" t="str">
        <f>IFERROR(__xludf.DUMMYFUNCTION("""COMPUTED_VALUE"""),"Hospitalized [NCIT:C25179]                    ")</f>
        <v>Hospitalized [NCIT:C25179]                    </v>
      </c>
      <c r="C362" s="34" t="str">
        <f>IFERROR(__xludf.DUMMYFUNCTION("""COMPUTED_VALUE"""),"NCIT:C25179")</f>
        <v>NCIT:C25179</v>
      </c>
      <c r="D362" s="29" t="str">
        <f>IFERROR(__xludf.DUMMYFUNCTION("""COMPUTED_VALUE"""),"The condition of being treated as a patient in a hospital.")</f>
        <v>The condition of being treated as a patient in a hospital.</v>
      </c>
      <c r="H362" s="55" t="s">
        <v>19</v>
      </c>
      <c r="I362" s="55" t="s">
        <v>19</v>
      </c>
      <c r="J362" s="55" t="s">
        <v>19</v>
      </c>
      <c r="K362" s="55" t="str">
        <f t="shared" ref="K362:K367" si="24">K361</f>
        <v>International</v>
      </c>
      <c r="M362" s="57" t="s">
        <v>28</v>
      </c>
    </row>
    <row r="363" hidden="1">
      <c r="A363" s="29"/>
      <c r="B363" s="53" t="str">
        <f>IFERROR(__xludf.DUMMYFUNCTION("""COMPUTED_VALUE"""),"     Hospitalized (Non-ICU) [GENEPIO:0100045]               ")</f>
        <v>     Hospitalized (Non-ICU) [GENEPIO:0100045]               </v>
      </c>
      <c r="C363" s="29" t="str">
        <f>IFERROR(__xludf.DUMMYFUNCTION("""COMPUTED_VALUE"""),"GENEPIO:0100045")</f>
        <v>GENEPIO:0100045</v>
      </c>
      <c r="D363" s="29" t="str">
        <f>IFERROR(__xludf.DUMMYFUNCTION("""COMPUTED_VALUE"""),"The condition of being treated as a patient in a hospital without admission to an intensive care unit (ICU).")</f>
        <v>The condition of being treated as a patient in a hospital without admission to an intensive care unit (ICU).</v>
      </c>
      <c r="E363" s="29"/>
      <c r="F363" s="29"/>
      <c r="G363" s="29"/>
      <c r="H363" s="29"/>
      <c r="I363" s="29"/>
      <c r="J363" s="29"/>
      <c r="K363" s="55" t="str">
        <f t="shared" si="24"/>
        <v>International</v>
      </c>
      <c r="M363" s="40"/>
    </row>
    <row r="364" hidden="1">
      <c r="A364" s="29"/>
      <c r="B364" s="53" t="str">
        <f>IFERROR(__xludf.DUMMYFUNCTION("""COMPUTED_VALUE"""),"     Hospitalized (ICU) [GENEPIO:0100046]               ")</f>
        <v>     Hospitalized (ICU) [GENEPIO:0100046]               </v>
      </c>
      <c r="C364" s="29" t="str">
        <f>IFERROR(__xludf.DUMMYFUNCTION("""COMPUTED_VALUE"""),"GENEPIO:0100046")</f>
        <v>GENEPIO:0100046</v>
      </c>
      <c r="D364" s="29" t="str">
        <f>IFERROR(__xludf.DUMMYFUNCTION("""COMPUTED_VALUE"""),"The condition of being treated as a patient in a hospital intensive care unit (ICU).")</f>
        <v>The condition of being treated as a patient in a hospital intensive care unit (ICU).</v>
      </c>
      <c r="E364" s="29"/>
      <c r="F364" s="29"/>
      <c r="G364" s="29"/>
      <c r="H364" s="56" t="s">
        <v>19</v>
      </c>
      <c r="I364" s="56" t="s">
        <v>19</v>
      </c>
      <c r="J364" s="56" t="s">
        <v>19</v>
      </c>
      <c r="K364" s="55" t="str">
        <f t="shared" si="24"/>
        <v>International</v>
      </c>
      <c r="M364" s="40"/>
    </row>
    <row r="365" hidden="1">
      <c r="A365" s="29"/>
      <c r="B365" s="53" t="str">
        <f>IFERROR(__xludf.DUMMYFUNCTION("""COMPUTED_VALUE"""),"Medically Isolated [GENEPIO:0100047]                    ")</f>
        <v>Medically Isolated [GENEPIO:0100047]                    </v>
      </c>
      <c r="C365" s="29" t="str">
        <f>IFERROR(__xludf.DUMMYFUNCTION("""COMPUTED_VALUE"""),"GENEPIO:0100047")</f>
        <v>GENEPIO:0100047</v>
      </c>
      <c r="D365" s="29" t="str">
        <f>IFERROR(__xludf.DUMMYFUNCTION("""COMPUTED_VALUE"""),"Separation of people with a contagious disease from population to reduce the spread of the disease.")</f>
        <v>Separation of people with a contagious disease from population to reduce the spread of the disease.</v>
      </c>
      <c r="E365" s="29"/>
      <c r="F365" s="29"/>
      <c r="G365" s="29"/>
      <c r="H365" s="56" t="s">
        <v>19</v>
      </c>
      <c r="I365" s="56" t="s">
        <v>19</v>
      </c>
      <c r="J365" s="56" t="s">
        <v>19</v>
      </c>
      <c r="K365" s="55" t="str">
        <f t="shared" si="24"/>
        <v>International</v>
      </c>
      <c r="M365" s="40"/>
    </row>
    <row r="366" hidden="1">
      <c r="A366" s="29"/>
      <c r="B366" s="53" t="str">
        <f>IFERROR(__xludf.DUMMYFUNCTION("""COMPUTED_VALUE"""),"     Medically Isolated (Negative Pressure) [GENEPIO:0100048]               ")</f>
        <v>     Medically Isolated (Negative Pressure) [GENEPIO:0100048]               </v>
      </c>
      <c r="C366" s="29" t="str">
        <f>IFERROR(__xludf.DUMMYFUNCTION("""COMPUTED_VALUE"""),"GENEPIO:0100048")</f>
        <v>GENEPIO:0100048</v>
      </c>
      <c r="D366" s="29" t="str">
        <f>IFERROR(__xludf.DUMMYFUNCTION("""COMPUTED_VALUE"""),"Medical isolation in a negative pressure environment: 6 to 12 air exchanges per hour, and direct exhaust to the outside or through a high efficiency particulate air filter.")</f>
        <v>Medical isolation in a negative pressure environment: 6 to 12 air exchanges per hour, and direct exhaust to the outside or through a high efficiency particulate air filter.</v>
      </c>
      <c r="E366" s="29"/>
      <c r="F366" s="29"/>
      <c r="G366" s="29"/>
      <c r="H366" s="56" t="s">
        <v>19</v>
      </c>
      <c r="I366" s="56" t="s">
        <v>19</v>
      </c>
      <c r="J366" s="56" t="s">
        <v>19</v>
      </c>
      <c r="K366" s="55" t="str">
        <f t="shared" si="24"/>
        <v>International</v>
      </c>
      <c r="M366" s="40"/>
    </row>
    <row r="367" hidden="1">
      <c r="A367" s="29"/>
      <c r="B367" s="53" t="str">
        <f>IFERROR(__xludf.DUMMYFUNCTION("""COMPUTED_VALUE"""),"Self-quarantining [NCIT:C173768]                    ")</f>
        <v>Self-quarantining [NCIT:C173768]                    </v>
      </c>
      <c r="C367" s="29" t="str">
        <f>IFERROR(__xludf.DUMMYFUNCTION("""COMPUTED_VALUE"""),"NCIT:C173768")</f>
        <v>NCIT:C173768</v>
      </c>
      <c r="D367" s="29" t="str">
        <f>IFERROR(__xludf.DUMMYFUNCTION("""COMPUTED_VALUE"""),"A method used by an individual to be kept apart in seclusion from others for a period of time in an attempt to minimize the risk of transmission of an infectious disease.")</f>
        <v>A method used by an individual to be kept apart in seclusion from others for a period of time in an attempt to minimize the risk of transmission of an infectious disease.</v>
      </c>
      <c r="E367" s="29"/>
      <c r="F367" s="29"/>
      <c r="G367" s="29"/>
      <c r="H367" s="56" t="s">
        <v>19</v>
      </c>
      <c r="I367" s="56" t="s">
        <v>19</v>
      </c>
      <c r="J367" s="56" t="s">
        <v>19</v>
      </c>
      <c r="K367" s="55" t="str">
        <f t="shared" si="24"/>
        <v>International</v>
      </c>
      <c r="M367" s="40"/>
    </row>
    <row r="368">
      <c r="A368" s="29" t="str">
        <f>IFERROR(__xludf.DUMMYFUNCTION("""COMPUTED_VALUE"""),"host health outcome menu")</f>
        <v>host health outcome menu</v>
      </c>
      <c r="B368" s="53" t="str">
        <f>IFERROR(__xludf.DUMMYFUNCTION("""COMPUTED_VALUE"""),"                    ")</f>
        <v>                    </v>
      </c>
      <c r="C368" s="29"/>
      <c r="D368" s="29" t="str">
        <f>IFERROR(__xludf.DUMMYFUNCTION("""COMPUTED_VALUE"""),"")</f>
        <v/>
      </c>
      <c r="E368" s="29"/>
      <c r="F368" s="29"/>
      <c r="G368" s="29"/>
      <c r="H368" s="29"/>
      <c r="I368" s="29"/>
      <c r="J368" s="29"/>
      <c r="K368" s="34" t="str">
        <f>VLOOKUP(L368,'Field Reference Guide'!$B$7:$N$207,13,false)</f>
        <v>Mpox</v>
      </c>
      <c r="L368" s="34" t="str">
        <f>LEFT(A368, LEN(A368) - 5)
</f>
        <v>host health outcome</v>
      </c>
      <c r="M368" s="34" t="str">
        <f>VLOOKUP(L368,'Field Reference Guide'!$B$6:$N$220,13,false)</f>
        <v>Mpox</v>
      </c>
    </row>
    <row r="369">
      <c r="A369" s="34"/>
      <c r="B369" s="53" t="str">
        <f>IFERROR(__xludf.DUMMYFUNCTION("""COMPUTED_VALUE"""),"Deceased                    ")</f>
        <v>Deceased                    </v>
      </c>
      <c r="C369" s="34" t="str">
        <f>IFERROR(__xludf.DUMMYFUNCTION("""COMPUTED_VALUE"""),"NCIT:C28554")</f>
        <v>NCIT:C28554</v>
      </c>
      <c r="D369" s="29" t="str">
        <f>IFERROR(__xludf.DUMMYFUNCTION("""COMPUTED_VALUE"""),"The cessation of life.")</f>
        <v>The cessation of life.</v>
      </c>
      <c r="K369" s="55" t="str">
        <f t="shared" ref="K369:K372" si="25">K368</f>
        <v>Mpox</v>
      </c>
      <c r="M369" s="57" t="s">
        <v>26</v>
      </c>
    </row>
    <row r="370">
      <c r="A370" s="34"/>
      <c r="B370" s="53" t="str">
        <f>IFERROR(__xludf.DUMMYFUNCTION("""COMPUTED_VALUE"""),"Deteriorating                    ")</f>
        <v>Deteriorating                    </v>
      </c>
      <c r="C370" s="34" t="str">
        <f>IFERROR(__xludf.DUMMYFUNCTION("""COMPUTED_VALUE"""),"NCIT:C25254")</f>
        <v>NCIT:C25254</v>
      </c>
      <c r="D370" s="29" t="str">
        <f>IFERROR(__xludf.DUMMYFUNCTION("""COMPUTED_VALUE"""),"Advancing in extent or severity.")</f>
        <v>Advancing in extent or severity.</v>
      </c>
      <c r="H370" s="55" t="s">
        <v>19</v>
      </c>
      <c r="I370" s="55" t="s">
        <v>19</v>
      </c>
      <c r="J370" s="55" t="s">
        <v>19</v>
      </c>
      <c r="K370" s="55" t="str">
        <f t="shared" si="25"/>
        <v>Mpox</v>
      </c>
      <c r="M370" s="40"/>
    </row>
    <row r="371">
      <c r="A371" s="34"/>
      <c r="B371" s="53" t="str">
        <f>IFERROR(__xludf.DUMMYFUNCTION("""COMPUTED_VALUE"""),"Recovered                    ")</f>
        <v>Recovered                    </v>
      </c>
      <c r="C371" s="34" t="str">
        <f>IFERROR(__xludf.DUMMYFUNCTION("""COMPUTED_VALUE"""),"NCIT:C49498")</f>
        <v>NCIT:C49498</v>
      </c>
      <c r="D371"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71" s="55" t="s">
        <v>19</v>
      </c>
      <c r="I371" s="55" t="s">
        <v>19</v>
      </c>
      <c r="J371" s="55" t="s">
        <v>19</v>
      </c>
      <c r="K371" s="55" t="str">
        <f t="shared" si="25"/>
        <v>Mpox</v>
      </c>
      <c r="M371" s="40"/>
    </row>
    <row r="372">
      <c r="A372" s="29"/>
      <c r="B372" s="53" t="str">
        <f>IFERROR(__xludf.DUMMYFUNCTION("""COMPUTED_VALUE"""),"Stable                    ")</f>
        <v>Stable                    </v>
      </c>
      <c r="C372" s="29" t="str">
        <f>IFERROR(__xludf.DUMMYFUNCTION("""COMPUTED_VALUE"""),"NCIT:C30103")</f>
        <v>NCIT:C30103</v>
      </c>
      <c r="D372" s="29" t="str">
        <f>IFERROR(__xludf.DUMMYFUNCTION("""COMPUTED_VALUE"""),"Subject to little fluctuation; showing little if any change.")</f>
        <v>Subject to little fluctuation; showing little if any change.</v>
      </c>
      <c r="E372" s="29"/>
      <c r="F372" s="29"/>
      <c r="G372" s="29"/>
      <c r="H372" s="29"/>
      <c r="I372" s="29"/>
      <c r="J372" s="29"/>
      <c r="K372" s="55" t="str">
        <f t="shared" si="25"/>
        <v>Mpox</v>
      </c>
      <c r="M372" s="40"/>
    </row>
    <row r="373" hidden="1">
      <c r="A373" s="29" t="str">
        <f>IFERROR(__xludf.DUMMYFUNCTION("""COMPUTED_VALUE"""),"host health outcome international menu")</f>
        <v>host health outcome international menu</v>
      </c>
      <c r="B373" s="53" t="str">
        <f>IFERROR(__xludf.DUMMYFUNCTION("""COMPUTED_VALUE"""),"                    ")</f>
        <v>                    </v>
      </c>
      <c r="C373" s="29"/>
      <c r="D373" s="29" t="str">
        <f>IFERROR(__xludf.DUMMYFUNCTION("""COMPUTED_VALUE"""),"")</f>
        <v/>
      </c>
      <c r="E373" s="29"/>
      <c r="F373" s="29"/>
      <c r="G373" s="29"/>
      <c r="H373" s="56"/>
      <c r="I373" s="56"/>
      <c r="J373" s="56"/>
      <c r="K373" s="59" t="s">
        <v>27</v>
      </c>
      <c r="L373" s="34" t="str">
        <f>LEFT(A373, LEN(A373) - 5)
</f>
        <v>host health outcome international</v>
      </c>
      <c r="M373" s="34" t="str">
        <f>VLOOKUP(L373,'Field Reference Guide'!$B$6:$N$220,13,false)</f>
        <v>#N/A</v>
      </c>
    </row>
    <row r="374" hidden="1">
      <c r="A374" s="29"/>
      <c r="B374" s="53" t="str">
        <f>IFERROR(__xludf.DUMMYFUNCTION("""COMPUTED_VALUE"""),"Deceased [NCIT:C28554]                    ")</f>
        <v>Deceased [NCIT:C28554]                    </v>
      </c>
      <c r="C374" s="29" t="str">
        <f>IFERROR(__xludf.DUMMYFUNCTION("""COMPUTED_VALUE"""),"NCIT:C28554")</f>
        <v>NCIT:C28554</v>
      </c>
      <c r="D374" s="29" t="str">
        <f>IFERROR(__xludf.DUMMYFUNCTION("""COMPUTED_VALUE"""),"The cessation of life.")</f>
        <v>The cessation of life.</v>
      </c>
      <c r="E374" s="29"/>
      <c r="F374" s="29"/>
      <c r="G374" s="29"/>
      <c r="H374" s="56" t="s">
        <v>19</v>
      </c>
      <c r="I374" s="56" t="s">
        <v>19</v>
      </c>
      <c r="J374" s="56" t="s">
        <v>19</v>
      </c>
      <c r="K374" s="55" t="str">
        <f t="shared" ref="K374:K378" si="26">K373</f>
        <v>International</v>
      </c>
      <c r="M374" s="57" t="s">
        <v>28</v>
      </c>
    </row>
    <row r="375" hidden="1">
      <c r="A375" s="34"/>
      <c r="B375" s="53" t="str">
        <f>IFERROR(__xludf.DUMMYFUNCTION("""COMPUTED_VALUE"""),"Deteriorating [NCIT:C25254]                    ")</f>
        <v>Deteriorating [NCIT:C25254]                    </v>
      </c>
      <c r="C375" s="34" t="str">
        <f>IFERROR(__xludf.DUMMYFUNCTION("""COMPUTED_VALUE"""),"NCIT:C25254")</f>
        <v>NCIT:C25254</v>
      </c>
      <c r="D375" s="29" t="str">
        <f>IFERROR(__xludf.DUMMYFUNCTION("""COMPUTED_VALUE"""),"Advancing in extent or severity.")</f>
        <v>Advancing in extent or severity.</v>
      </c>
      <c r="K375" s="55" t="str">
        <f t="shared" si="26"/>
        <v>International</v>
      </c>
      <c r="M375" s="40"/>
    </row>
    <row r="376" hidden="1">
      <c r="A376" s="34"/>
      <c r="B376" s="53" t="str">
        <f>IFERROR(__xludf.DUMMYFUNCTION("""COMPUTED_VALUE"""),"Recovered [NCIT:C49498]                    ")</f>
        <v>Recovered [NCIT:C49498]                    </v>
      </c>
      <c r="C376" s="34" t="str">
        <f>IFERROR(__xludf.DUMMYFUNCTION("""COMPUTED_VALUE"""),"NCIT:C49498")</f>
        <v>NCIT:C49498</v>
      </c>
      <c r="D376" s="29" t="str">
        <f>IFERROR(__xludf.DUMMYFUNCTION("""COMPUTED_VALUE"""),"One of the possible results of an adverse event outcome that indicates that the event has improved or recuperated.")</f>
        <v>One of the possible results of an adverse event outcome that indicates that the event has improved or recuperated.</v>
      </c>
      <c r="H376" s="55" t="s">
        <v>19</v>
      </c>
      <c r="I376" s="55" t="s">
        <v>19</v>
      </c>
      <c r="J376" s="55" t="s">
        <v>19</v>
      </c>
      <c r="K376" s="55" t="str">
        <f t="shared" si="26"/>
        <v>International</v>
      </c>
      <c r="M376" s="40"/>
    </row>
    <row r="377" hidden="1">
      <c r="A377" s="34"/>
      <c r="B377" s="53" t="str">
        <f>IFERROR(__xludf.DUMMYFUNCTION("""COMPUTED_VALUE"""),"Stable [NCIT:C30103]                    ")</f>
        <v>Stable [NCIT:C30103]                    </v>
      </c>
      <c r="C377" s="34" t="str">
        <f>IFERROR(__xludf.DUMMYFUNCTION("""COMPUTED_VALUE"""),"NCIT:C30103")</f>
        <v>NCIT:C30103</v>
      </c>
      <c r="D377" s="29" t="str">
        <f>IFERROR(__xludf.DUMMYFUNCTION("""COMPUTED_VALUE"""),"Subject to little fluctuation; showing little if any change.")</f>
        <v>Subject to little fluctuation; showing little if any change.</v>
      </c>
      <c r="H377" s="55" t="s">
        <v>19</v>
      </c>
      <c r="I377" s="55" t="s">
        <v>19</v>
      </c>
      <c r="J377" s="55" t="s">
        <v>19</v>
      </c>
      <c r="K377" s="55" t="str">
        <f t="shared" si="26"/>
        <v>International</v>
      </c>
      <c r="M377" s="40"/>
    </row>
    <row r="378" hidden="1">
      <c r="A378" s="34"/>
      <c r="B378" s="53" t="str">
        <f>IFERROR(__xludf.DUMMYFUNCTION("""COMPUTED_VALUE"""),"                    ")</f>
        <v>                    </v>
      </c>
      <c r="C378" s="34"/>
      <c r="D378" s="29" t="str">
        <f>IFERROR(__xludf.DUMMYFUNCTION("""COMPUTED_VALUE"""),"")</f>
        <v/>
      </c>
      <c r="H378" s="55" t="s">
        <v>19</v>
      </c>
      <c r="I378" s="55" t="s">
        <v>19</v>
      </c>
      <c r="J378" s="55" t="s">
        <v>19</v>
      </c>
      <c r="K378" s="55" t="str">
        <f t="shared" si="26"/>
        <v>International</v>
      </c>
      <c r="M378" s="58"/>
    </row>
    <row r="379">
      <c r="A379" s="34" t="str">
        <f>IFERROR(__xludf.DUMMYFUNCTION("""COMPUTED_VALUE"""),"host age unit menu")</f>
        <v>host age unit menu</v>
      </c>
      <c r="B379" s="53" t="str">
        <f>IFERROR(__xludf.DUMMYFUNCTION("""COMPUTED_VALUE"""),"                    ")</f>
        <v>                    </v>
      </c>
      <c r="C379" s="34"/>
      <c r="D379" s="29" t="str">
        <f>IFERROR(__xludf.DUMMYFUNCTION("""COMPUTED_VALUE"""),"")</f>
        <v/>
      </c>
      <c r="E379" s="34"/>
      <c r="F379" s="34"/>
      <c r="G379" s="34"/>
      <c r="H379" s="55"/>
      <c r="I379" s="55"/>
      <c r="J379" s="55"/>
      <c r="K379" s="55" t="s">
        <v>26</v>
      </c>
      <c r="L379" s="34" t="str">
        <f>LEFT(A379, LEN(A379) - 5)
</f>
        <v>host age unit</v>
      </c>
      <c r="M379" s="34" t="str">
        <f>VLOOKUP(L379,'Field Reference Guide'!$B$6:$N$220,13,false)</f>
        <v>Mpox</v>
      </c>
    </row>
    <row r="380">
      <c r="A380" s="34"/>
      <c r="B380" s="53" t="str">
        <f>IFERROR(__xludf.DUMMYFUNCTION("""COMPUTED_VALUE"""),"month                    ")</f>
        <v>month                    </v>
      </c>
      <c r="C380" s="34" t="str">
        <f>IFERROR(__xludf.DUMMYFUNCTION("""COMPUTED_VALUE"""),"UO:0000035")</f>
        <v>UO:0000035</v>
      </c>
      <c r="D380"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380" s="55" t="s">
        <v>19</v>
      </c>
      <c r="I380" s="55" t="s">
        <v>19</v>
      </c>
      <c r="J380" s="55" t="s">
        <v>19</v>
      </c>
      <c r="K380" s="55" t="str">
        <f t="shared" ref="K380:K381" si="27">K379</f>
        <v>Mpox</v>
      </c>
      <c r="M380" s="57" t="s">
        <v>26</v>
      </c>
    </row>
    <row r="381">
      <c r="A381" s="34"/>
      <c r="B381" s="53" t="str">
        <f>IFERROR(__xludf.DUMMYFUNCTION("""COMPUTED_VALUE"""),"year                    ")</f>
        <v>year                    </v>
      </c>
      <c r="C381" s="34" t="str">
        <f>IFERROR(__xludf.DUMMYFUNCTION("""COMPUTED_VALUE"""),"UO:0000036")</f>
        <v>UO:0000036</v>
      </c>
      <c r="D381" s="29" t="str">
        <f>IFERROR(__xludf.DUMMYFUNCTION("""COMPUTED_VALUE"""),"A time unit which is equal to 12 months which in science is taken to be equal to 365.25 days.")</f>
        <v>A time unit which is equal to 12 months which in science is taken to be equal to 365.25 days.</v>
      </c>
      <c r="H381" s="55" t="s">
        <v>19</v>
      </c>
      <c r="I381" s="55" t="s">
        <v>19</v>
      </c>
      <c r="J381" s="55" t="s">
        <v>19</v>
      </c>
      <c r="K381" s="55" t="str">
        <f t="shared" si="27"/>
        <v>Mpox</v>
      </c>
      <c r="M381" s="40"/>
    </row>
    <row r="382" hidden="1">
      <c r="A382" s="34" t="str">
        <f>IFERROR(__xludf.DUMMYFUNCTION("""COMPUTED_VALUE"""),"host age unit international menu")</f>
        <v>host age unit international menu</v>
      </c>
      <c r="B382" s="53" t="str">
        <f>IFERROR(__xludf.DUMMYFUNCTION("""COMPUTED_VALUE"""),"                    ")</f>
        <v>                    </v>
      </c>
      <c r="C382" s="34"/>
      <c r="D382" s="29" t="str">
        <f>IFERROR(__xludf.DUMMYFUNCTION("""COMPUTED_VALUE"""),"")</f>
        <v/>
      </c>
      <c r="E382" s="34"/>
      <c r="F382" s="34"/>
      <c r="G382" s="34"/>
      <c r="H382" s="55"/>
      <c r="I382" s="55"/>
      <c r="J382" s="55"/>
      <c r="K382" s="59" t="s">
        <v>27</v>
      </c>
      <c r="L382" s="34" t="str">
        <f>LEFT(A382, LEN(A382) - 5)
</f>
        <v>host age unit international</v>
      </c>
      <c r="M382" s="34" t="str">
        <f>VLOOKUP(L382,'Field Reference Guide'!$B$6:$N$220,13,false)</f>
        <v>#N/A</v>
      </c>
    </row>
    <row r="383" hidden="1">
      <c r="A383" s="34"/>
      <c r="B383" s="53" t="str">
        <f>IFERROR(__xludf.DUMMYFUNCTION("""COMPUTED_VALUE"""),"month [UO:0000035]                    ")</f>
        <v>month [UO:0000035]                    </v>
      </c>
      <c r="C383" s="34" t="str">
        <f>IFERROR(__xludf.DUMMYFUNCTION("""COMPUTED_VALUE"""),"UO:0000035")</f>
        <v>UO:0000035</v>
      </c>
      <c r="D383" s="29" t="str">
        <f>IFERROR(__xludf.DUMMYFUNCTION("""COMPUTED_VALUE"""),"A time unit which is approximately equal to the length of time of one of cycle of the moon's phases which in science is taken to be equal to 30 days.")</f>
        <v>A time unit which is approximately equal to the length of time of one of cycle of the moon's phases which in science is taken to be equal to 30 days.</v>
      </c>
      <c r="H383" s="55" t="s">
        <v>19</v>
      </c>
      <c r="I383" s="55" t="s">
        <v>19</v>
      </c>
      <c r="J383" s="55" t="s">
        <v>19</v>
      </c>
      <c r="K383" s="55" t="str">
        <f t="shared" ref="K383:K384" si="28">K382</f>
        <v>International</v>
      </c>
      <c r="M383" s="57" t="s">
        <v>28</v>
      </c>
    </row>
    <row r="384" hidden="1">
      <c r="A384" s="34"/>
      <c r="B384" s="53" t="str">
        <f>IFERROR(__xludf.DUMMYFUNCTION("""COMPUTED_VALUE"""),"year [UO:0000036]                    ")</f>
        <v>year [UO:0000036]                    </v>
      </c>
      <c r="C384" s="34" t="str">
        <f>IFERROR(__xludf.DUMMYFUNCTION("""COMPUTED_VALUE"""),"UO:0000036")</f>
        <v>UO:0000036</v>
      </c>
      <c r="D384" s="29" t="str">
        <f>IFERROR(__xludf.DUMMYFUNCTION("""COMPUTED_VALUE"""),"A time unit which is equal to 12 months which in science is taken to be equal to 365.25 days.")</f>
        <v>A time unit which is equal to 12 months which in science is taken to be equal to 365.25 days.</v>
      </c>
      <c r="H384" s="55" t="s">
        <v>19</v>
      </c>
      <c r="I384" s="55" t="s">
        <v>19</v>
      </c>
      <c r="J384" s="55" t="s">
        <v>19</v>
      </c>
      <c r="K384" s="55" t="str">
        <f t="shared" si="28"/>
        <v>International</v>
      </c>
      <c r="M384" s="40"/>
    </row>
    <row r="385">
      <c r="A385" s="34" t="str">
        <f>IFERROR(__xludf.DUMMYFUNCTION("""COMPUTED_VALUE"""),"host age bin menu")</f>
        <v>host age bin menu</v>
      </c>
      <c r="B385" s="53" t="str">
        <f>IFERROR(__xludf.DUMMYFUNCTION("""COMPUTED_VALUE"""),"                    ")</f>
        <v>                    </v>
      </c>
      <c r="C385" s="34"/>
      <c r="D385" s="29" t="str">
        <f>IFERROR(__xludf.DUMMYFUNCTION("""COMPUTED_VALUE"""),"")</f>
        <v/>
      </c>
      <c r="E385" s="34"/>
      <c r="F385" s="34"/>
      <c r="G385" s="34"/>
      <c r="H385" s="55"/>
      <c r="I385" s="55"/>
      <c r="J385" s="55"/>
      <c r="K385" s="55" t="s">
        <v>26</v>
      </c>
      <c r="L385" s="34" t="str">
        <f>LEFT(A385, LEN(A385) - 5)
</f>
        <v>host age bin</v>
      </c>
      <c r="M385" s="34" t="str">
        <f>VLOOKUP(L385,'Field Reference Guide'!$B$6:$N$220,13,false)</f>
        <v>Mpox</v>
      </c>
    </row>
    <row r="386">
      <c r="A386" s="34"/>
      <c r="B386" s="53" t="str">
        <f>IFERROR(__xludf.DUMMYFUNCTION("""COMPUTED_VALUE"""),"0 - 9                    ")</f>
        <v>0 - 9                    </v>
      </c>
      <c r="C386" s="34" t="str">
        <f>IFERROR(__xludf.DUMMYFUNCTION("""COMPUTED_VALUE"""),"GENEPIO:0100049")</f>
        <v>GENEPIO:0100049</v>
      </c>
      <c r="D386" s="29" t="str">
        <f>IFERROR(__xludf.DUMMYFUNCTION("""COMPUTED_VALUE"""),"An age group that stratifies the age of a case to be between 0 to 9 years old (inclusive).")</f>
        <v>An age group that stratifies the age of a case to be between 0 to 9 years old (inclusive).</v>
      </c>
      <c r="H386" s="55" t="s">
        <v>19</v>
      </c>
      <c r="I386" s="55" t="s">
        <v>19</v>
      </c>
      <c r="J386" s="55" t="s">
        <v>19</v>
      </c>
      <c r="K386" s="55" t="str">
        <f t="shared" ref="K386:K396" si="29">K385</f>
        <v>Mpox</v>
      </c>
      <c r="M386" s="57" t="s">
        <v>26</v>
      </c>
    </row>
    <row r="387">
      <c r="A387" s="29"/>
      <c r="B387" s="53" t="str">
        <f>IFERROR(__xludf.DUMMYFUNCTION("""COMPUTED_VALUE"""),"10 - 19                    ")</f>
        <v>10 - 19                    </v>
      </c>
      <c r="C387" s="29" t="str">
        <f>IFERROR(__xludf.DUMMYFUNCTION("""COMPUTED_VALUE"""),"GENEPIO:0100050")</f>
        <v>GENEPIO:0100050</v>
      </c>
      <c r="D387" s="29" t="str">
        <f>IFERROR(__xludf.DUMMYFUNCTION("""COMPUTED_VALUE"""),"An age group that stratifies the age of a case to be between 10 to 19 years old (inclusive).")</f>
        <v>An age group that stratifies the age of a case to be between 10 to 19 years old (inclusive).</v>
      </c>
      <c r="E387" s="29"/>
      <c r="F387" s="29"/>
      <c r="G387" s="29"/>
      <c r="H387" s="29"/>
      <c r="I387" s="29"/>
      <c r="J387" s="29"/>
      <c r="K387" s="55" t="str">
        <f t="shared" si="29"/>
        <v>Mpox</v>
      </c>
      <c r="M387" s="40"/>
    </row>
    <row r="388">
      <c r="A388" s="29"/>
      <c r="B388" s="53" t="str">
        <f>IFERROR(__xludf.DUMMYFUNCTION("""COMPUTED_VALUE"""),"20 - 29                    ")</f>
        <v>20 - 29                    </v>
      </c>
      <c r="C388" s="29" t="str">
        <f>IFERROR(__xludf.DUMMYFUNCTION("""COMPUTED_VALUE"""),"GENEPIO:0100051")</f>
        <v>GENEPIO:0100051</v>
      </c>
      <c r="D388" s="29" t="str">
        <f>IFERROR(__xludf.DUMMYFUNCTION("""COMPUTED_VALUE"""),"An age group that stratifies the age of a case to be between 20 to 29 years old (inclusive).")</f>
        <v>An age group that stratifies the age of a case to be between 20 to 29 years old (inclusive).</v>
      </c>
      <c r="E388" s="29"/>
      <c r="F388" s="29"/>
      <c r="G388" s="29"/>
      <c r="H388" s="56" t="s">
        <v>19</v>
      </c>
      <c r="I388" s="56" t="s">
        <v>19</v>
      </c>
      <c r="J388" s="56" t="s">
        <v>19</v>
      </c>
      <c r="K388" s="55" t="str">
        <f t="shared" si="29"/>
        <v>Mpox</v>
      </c>
      <c r="M388" s="40"/>
    </row>
    <row r="389">
      <c r="A389" s="29"/>
      <c r="B389" s="53" t="str">
        <f>IFERROR(__xludf.DUMMYFUNCTION("""COMPUTED_VALUE"""),"30 - 39                    ")</f>
        <v>30 - 39                    </v>
      </c>
      <c r="C389" s="29" t="str">
        <f>IFERROR(__xludf.DUMMYFUNCTION("""COMPUTED_VALUE"""),"GENEPIO:0100052")</f>
        <v>GENEPIO:0100052</v>
      </c>
      <c r="D389" s="29" t="str">
        <f>IFERROR(__xludf.DUMMYFUNCTION("""COMPUTED_VALUE"""),"An age group that stratifies the age of a case to be between 30 to 39 years old (inclusive).")</f>
        <v>An age group that stratifies the age of a case to be between 30 to 39 years old (inclusive).</v>
      </c>
      <c r="E389" s="29"/>
      <c r="F389" s="29"/>
      <c r="G389" s="29"/>
      <c r="H389" s="56" t="s">
        <v>19</v>
      </c>
      <c r="I389" s="56" t="s">
        <v>19</v>
      </c>
      <c r="J389" s="56" t="s">
        <v>19</v>
      </c>
      <c r="K389" s="55" t="str">
        <f t="shared" si="29"/>
        <v>Mpox</v>
      </c>
      <c r="M389" s="40"/>
    </row>
    <row r="390">
      <c r="A390" s="29"/>
      <c r="B390" s="53" t="str">
        <f>IFERROR(__xludf.DUMMYFUNCTION("""COMPUTED_VALUE"""),"40 - 49                    ")</f>
        <v>40 - 49                    </v>
      </c>
      <c r="C390" s="29" t="str">
        <f>IFERROR(__xludf.DUMMYFUNCTION("""COMPUTED_VALUE"""),"GENEPIO:0100053")</f>
        <v>GENEPIO:0100053</v>
      </c>
      <c r="D390" s="29" t="str">
        <f>IFERROR(__xludf.DUMMYFUNCTION("""COMPUTED_VALUE"""),"An age group that stratifies the age of a case to be between 40 to 49 years old (inclusive).")</f>
        <v>An age group that stratifies the age of a case to be between 40 to 49 years old (inclusive).</v>
      </c>
      <c r="E390" s="29"/>
      <c r="F390" s="29"/>
      <c r="G390" s="29"/>
      <c r="H390" s="56" t="s">
        <v>19</v>
      </c>
      <c r="I390" s="56" t="s">
        <v>19</v>
      </c>
      <c r="J390" s="56" t="s">
        <v>19</v>
      </c>
      <c r="K390" s="55" t="str">
        <f t="shared" si="29"/>
        <v>Mpox</v>
      </c>
      <c r="M390" s="40"/>
    </row>
    <row r="391">
      <c r="A391" s="29"/>
      <c r="B391" s="53" t="str">
        <f>IFERROR(__xludf.DUMMYFUNCTION("""COMPUTED_VALUE"""),"50 - 59                    ")</f>
        <v>50 - 59                    </v>
      </c>
      <c r="C391" s="29" t="str">
        <f>IFERROR(__xludf.DUMMYFUNCTION("""COMPUTED_VALUE"""),"GENEPIO:0100054")</f>
        <v>GENEPIO:0100054</v>
      </c>
      <c r="D391" s="29" t="str">
        <f>IFERROR(__xludf.DUMMYFUNCTION("""COMPUTED_VALUE"""),"An age group that stratifies the age of a case to be between 50 to 59 years old (inclusive).")</f>
        <v>An age group that stratifies the age of a case to be between 50 to 59 years old (inclusive).</v>
      </c>
      <c r="E391" s="29"/>
      <c r="F391" s="29"/>
      <c r="G391" s="29"/>
      <c r="H391" s="56" t="s">
        <v>19</v>
      </c>
      <c r="I391" s="56" t="s">
        <v>19</v>
      </c>
      <c r="J391" s="56" t="s">
        <v>19</v>
      </c>
      <c r="K391" s="55" t="str">
        <f t="shared" si="29"/>
        <v>Mpox</v>
      </c>
      <c r="M391" s="40"/>
    </row>
    <row r="392">
      <c r="A392" s="29"/>
      <c r="B392" s="53" t="str">
        <f>IFERROR(__xludf.DUMMYFUNCTION("""COMPUTED_VALUE"""),"60 - 69                    ")</f>
        <v>60 - 69                    </v>
      </c>
      <c r="C392" s="29" t="str">
        <f>IFERROR(__xludf.DUMMYFUNCTION("""COMPUTED_VALUE"""),"GENEPIO:0100055")</f>
        <v>GENEPIO:0100055</v>
      </c>
      <c r="D392" s="29" t="str">
        <f>IFERROR(__xludf.DUMMYFUNCTION("""COMPUTED_VALUE"""),"An age group that stratifies the age of a case to be between 60 to 69 years old (inclusive).")</f>
        <v>An age group that stratifies the age of a case to be between 60 to 69 years old (inclusive).</v>
      </c>
      <c r="E392" s="29"/>
      <c r="F392" s="29"/>
      <c r="G392" s="29"/>
      <c r="H392" s="56" t="s">
        <v>19</v>
      </c>
      <c r="I392" s="56" t="s">
        <v>19</v>
      </c>
      <c r="J392" s="56" t="s">
        <v>19</v>
      </c>
      <c r="K392" s="55" t="str">
        <f t="shared" si="29"/>
        <v>Mpox</v>
      </c>
      <c r="M392" s="40"/>
    </row>
    <row r="393">
      <c r="A393" s="29"/>
      <c r="B393" s="53" t="str">
        <f>IFERROR(__xludf.DUMMYFUNCTION("""COMPUTED_VALUE"""),"70 - 79                    ")</f>
        <v>70 - 79                    </v>
      </c>
      <c r="C393" s="29" t="str">
        <f>IFERROR(__xludf.DUMMYFUNCTION("""COMPUTED_VALUE"""),"GENEPIO:0100056")</f>
        <v>GENEPIO:0100056</v>
      </c>
      <c r="D393" s="29" t="str">
        <f>IFERROR(__xludf.DUMMYFUNCTION("""COMPUTED_VALUE"""),"An age group that stratifies the age of a case to be between 70 to 79 years old (inclusive).")</f>
        <v>An age group that stratifies the age of a case to be between 70 to 79 years old (inclusive).</v>
      </c>
      <c r="E393" s="29"/>
      <c r="F393" s="29"/>
      <c r="G393" s="29"/>
      <c r="H393" s="56" t="s">
        <v>19</v>
      </c>
      <c r="I393" s="56" t="s">
        <v>19</v>
      </c>
      <c r="J393" s="56" t="s">
        <v>19</v>
      </c>
      <c r="K393" s="55" t="str">
        <f t="shared" si="29"/>
        <v>Mpox</v>
      </c>
      <c r="M393" s="40"/>
    </row>
    <row r="394">
      <c r="A394" s="29"/>
      <c r="B394" s="53" t="str">
        <f>IFERROR(__xludf.DUMMYFUNCTION("""COMPUTED_VALUE"""),"80 - 89                    ")</f>
        <v>80 - 89                    </v>
      </c>
      <c r="C394" s="29" t="str">
        <f>IFERROR(__xludf.DUMMYFUNCTION("""COMPUTED_VALUE"""),"GENEPIO:0100057")</f>
        <v>GENEPIO:0100057</v>
      </c>
      <c r="D394" s="29" t="str">
        <f>IFERROR(__xludf.DUMMYFUNCTION("""COMPUTED_VALUE"""),"An age group that stratifies the age of a case to be between 80 to 89 years old (inclusive).")</f>
        <v>An age group that stratifies the age of a case to be between 80 to 89 years old (inclusive).</v>
      </c>
      <c r="E394" s="29"/>
      <c r="F394" s="29"/>
      <c r="G394" s="29"/>
      <c r="H394" s="56" t="s">
        <v>19</v>
      </c>
      <c r="I394" s="56" t="s">
        <v>19</v>
      </c>
      <c r="J394" s="56" t="s">
        <v>19</v>
      </c>
      <c r="K394" s="55" t="str">
        <f t="shared" si="29"/>
        <v>Mpox</v>
      </c>
      <c r="M394" s="40"/>
    </row>
    <row r="395">
      <c r="A395" s="29"/>
      <c r="B395" s="53" t="str">
        <f>IFERROR(__xludf.DUMMYFUNCTION("""COMPUTED_VALUE"""),"90 - 99                    ")</f>
        <v>90 - 99                    </v>
      </c>
      <c r="C395" s="29" t="str">
        <f>IFERROR(__xludf.DUMMYFUNCTION("""COMPUTED_VALUE"""),"GENEPIO:0100058")</f>
        <v>GENEPIO:0100058</v>
      </c>
      <c r="D395" s="29" t="str">
        <f>IFERROR(__xludf.DUMMYFUNCTION("""COMPUTED_VALUE"""),"An age group that stratifies the age of a case to be between 90 to 99 years old (inclusive).")</f>
        <v>An age group that stratifies the age of a case to be between 90 to 99 years old (inclusive).</v>
      </c>
      <c r="E395" s="29"/>
      <c r="F395" s="29"/>
      <c r="G395" s="29"/>
      <c r="H395" s="56" t="s">
        <v>19</v>
      </c>
      <c r="I395" s="56" t="s">
        <v>19</v>
      </c>
      <c r="J395" s="56" t="s">
        <v>19</v>
      </c>
      <c r="K395" s="55" t="str">
        <f t="shared" si="29"/>
        <v>Mpox</v>
      </c>
      <c r="M395" s="40"/>
    </row>
    <row r="396">
      <c r="A396" s="29"/>
      <c r="B396" s="53" t="str">
        <f>IFERROR(__xludf.DUMMYFUNCTION("""COMPUTED_VALUE"""),"100+                    ")</f>
        <v>100+                    </v>
      </c>
      <c r="C396" s="29" t="str">
        <f>IFERROR(__xludf.DUMMYFUNCTION("""COMPUTED_VALUE"""),"GENEPIO:0100059")</f>
        <v>GENEPIO:0100059</v>
      </c>
      <c r="D396" s="29" t="str">
        <f>IFERROR(__xludf.DUMMYFUNCTION("""COMPUTED_VALUE"""),"An age group that stratifies the age of a case to be greater than or equal to 100 years old.")</f>
        <v>An age group that stratifies the age of a case to be greater than or equal to 100 years old.</v>
      </c>
      <c r="E396" s="29"/>
      <c r="F396" s="29"/>
      <c r="G396" s="29"/>
      <c r="H396" s="56" t="s">
        <v>19</v>
      </c>
      <c r="I396" s="56" t="s">
        <v>19</v>
      </c>
      <c r="J396" s="56" t="s">
        <v>19</v>
      </c>
      <c r="K396" s="55" t="str">
        <f t="shared" si="29"/>
        <v>Mpox</v>
      </c>
      <c r="M396" s="40"/>
    </row>
    <row r="397" hidden="1">
      <c r="A397" s="29" t="str">
        <f>IFERROR(__xludf.DUMMYFUNCTION("""COMPUTED_VALUE"""),"host age bin international menu")</f>
        <v>host age bin international menu</v>
      </c>
      <c r="B397" s="53" t="str">
        <f>IFERROR(__xludf.DUMMYFUNCTION("""COMPUTED_VALUE"""),"                    ")</f>
        <v>                    </v>
      </c>
      <c r="C397" s="29"/>
      <c r="D397" s="29" t="str">
        <f>IFERROR(__xludf.DUMMYFUNCTION("""COMPUTED_VALUE"""),"")</f>
        <v/>
      </c>
      <c r="E397" s="29"/>
      <c r="F397" s="29"/>
      <c r="G397" s="29"/>
      <c r="H397" s="56"/>
      <c r="I397" s="56"/>
      <c r="J397" s="56"/>
      <c r="K397" s="59" t="s">
        <v>27</v>
      </c>
      <c r="L397" s="34" t="str">
        <f>LEFT(A397, LEN(A397) - 5)
</f>
        <v>host age bin international</v>
      </c>
      <c r="M397" s="34" t="str">
        <f>VLOOKUP(L397,'Field Reference Guide'!$B$6:$N$220,13,false)</f>
        <v>#N/A</v>
      </c>
    </row>
    <row r="398" hidden="1">
      <c r="A398" s="29"/>
      <c r="B398" s="53" t="str">
        <f>IFERROR(__xludf.DUMMYFUNCTION("""COMPUTED_VALUE"""),"0 - 9 [GENEPIO:0100049]                    ")</f>
        <v>0 - 9 [GENEPIO:0100049]                    </v>
      </c>
      <c r="C398" s="29" t="str">
        <f>IFERROR(__xludf.DUMMYFUNCTION("""COMPUTED_VALUE"""),"GENEPIO:0100049")</f>
        <v>GENEPIO:0100049</v>
      </c>
      <c r="D398" s="29" t="str">
        <f>IFERROR(__xludf.DUMMYFUNCTION("""COMPUTED_VALUE"""),"An age group that stratifies the age of a case to be between 0 to 9 years old (inclusive).")</f>
        <v>An age group that stratifies the age of a case to be between 0 to 9 years old (inclusive).</v>
      </c>
      <c r="E398" s="29"/>
      <c r="F398" s="29"/>
      <c r="G398" s="29"/>
      <c r="H398" s="56" t="s">
        <v>19</v>
      </c>
      <c r="I398" s="56" t="s">
        <v>19</v>
      </c>
      <c r="J398" s="56" t="s">
        <v>19</v>
      </c>
      <c r="K398" s="55" t="str">
        <f t="shared" ref="K398:K408" si="30">K397</f>
        <v>International</v>
      </c>
      <c r="M398" s="57" t="s">
        <v>28</v>
      </c>
    </row>
    <row r="399" hidden="1">
      <c r="A399" s="34"/>
      <c r="B399" s="53" t="str">
        <f>IFERROR(__xludf.DUMMYFUNCTION("""COMPUTED_VALUE"""),"10 - 19 [GENEPIO:0100050]                    ")</f>
        <v>10 - 19 [GENEPIO:0100050]                    </v>
      </c>
      <c r="C399" s="34" t="str">
        <f>IFERROR(__xludf.DUMMYFUNCTION("""COMPUTED_VALUE"""),"GENEPIO:0100050")</f>
        <v>GENEPIO:0100050</v>
      </c>
      <c r="D399" s="29" t="str">
        <f>IFERROR(__xludf.DUMMYFUNCTION("""COMPUTED_VALUE"""),"An age group that stratifies the age of a case to be between 10 to 19 years old (inclusive).")</f>
        <v>An age group that stratifies the age of a case to be between 10 to 19 years old (inclusive).</v>
      </c>
      <c r="K399" s="55" t="str">
        <f t="shared" si="30"/>
        <v>International</v>
      </c>
      <c r="M399" s="40"/>
    </row>
    <row r="400" hidden="1">
      <c r="A400" s="34"/>
      <c r="B400" s="53" t="str">
        <f>IFERROR(__xludf.DUMMYFUNCTION("""COMPUTED_VALUE"""),"20 - 29 [GENEPIO:0100051]                    ")</f>
        <v>20 - 29 [GENEPIO:0100051]                    </v>
      </c>
      <c r="C400" s="34" t="str">
        <f>IFERROR(__xludf.DUMMYFUNCTION("""COMPUTED_VALUE"""),"GENEPIO:0100051")</f>
        <v>GENEPIO:0100051</v>
      </c>
      <c r="D400" s="29" t="str">
        <f>IFERROR(__xludf.DUMMYFUNCTION("""COMPUTED_VALUE"""),"An age group that stratifies the age of a case to be between 20 to 29 years old (inclusive).")</f>
        <v>An age group that stratifies the age of a case to be between 20 to 29 years old (inclusive).</v>
      </c>
      <c r="H400" s="55" t="s">
        <v>19</v>
      </c>
      <c r="I400" s="55" t="s">
        <v>19</v>
      </c>
      <c r="J400" s="55" t="s">
        <v>19</v>
      </c>
      <c r="K400" s="55" t="str">
        <f t="shared" si="30"/>
        <v>International</v>
      </c>
      <c r="M400" s="40"/>
    </row>
    <row r="401" hidden="1">
      <c r="A401" s="34"/>
      <c r="B401" s="53" t="str">
        <f>IFERROR(__xludf.DUMMYFUNCTION("""COMPUTED_VALUE"""),"30 - 39 [GENEPIO:0100052]                    ")</f>
        <v>30 - 39 [GENEPIO:0100052]                    </v>
      </c>
      <c r="C401" s="34" t="str">
        <f>IFERROR(__xludf.DUMMYFUNCTION("""COMPUTED_VALUE"""),"GENEPIO:0100052")</f>
        <v>GENEPIO:0100052</v>
      </c>
      <c r="D401" s="29" t="str">
        <f>IFERROR(__xludf.DUMMYFUNCTION("""COMPUTED_VALUE"""),"An age group that stratifies the age of a case to be between 30 to 39 years old (inclusive).")</f>
        <v>An age group that stratifies the age of a case to be between 30 to 39 years old (inclusive).</v>
      </c>
      <c r="H401" s="55" t="s">
        <v>19</v>
      </c>
      <c r="I401" s="55" t="s">
        <v>19</v>
      </c>
      <c r="J401" s="55" t="s">
        <v>19</v>
      </c>
      <c r="K401" s="55" t="str">
        <f t="shared" si="30"/>
        <v>International</v>
      </c>
      <c r="M401" s="40"/>
    </row>
    <row r="402" hidden="1">
      <c r="A402" s="34"/>
      <c r="B402" s="53" t="str">
        <f>IFERROR(__xludf.DUMMYFUNCTION("""COMPUTED_VALUE"""),"40 - 49 [GENEPIO:0100053]                    ")</f>
        <v>40 - 49 [GENEPIO:0100053]                    </v>
      </c>
      <c r="C402" s="34" t="str">
        <f>IFERROR(__xludf.DUMMYFUNCTION("""COMPUTED_VALUE"""),"GENEPIO:0100053")</f>
        <v>GENEPIO:0100053</v>
      </c>
      <c r="D402" s="29" t="str">
        <f>IFERROR(__xludf.DUMMYFUNCTION("""COMPUTED_VALUE"""),"An age group that stratifies the age of a case to be between 40 to 49 years old (inclusive).")</f>
        <v>An age group that stratifies the age of a case to be between 40 to 49 years old (inclusive).</v>
      </c>
      <c r="H402" s="55" t="s">
        <v>19</v>
      </c>
      <c r="I402" s="55" t="s">
        <v>19</v>
      </c>
      <c r="J402" s="55" t="s">
        <v>19</v>
      </c>
      <c r="K402" s="55" t="str">
        <f t="shared" si="30"/>
        <v>International</v>
      </c>
      <c r="M402" s="40"/>
    </row>
    <row r="403" hidden="1">
      <c r="A403" s="34"/>
      <c r="B403" s="53" t="str">
        <f>IFERROR(__xludf.DUMMYFUNCTION("""COMPUTED_VALUE"""),"50 - 59 [GENEPIO:0100054]                    ")</f>
        <v>50 - 59 [GENEPIO:0100054]                    </v>
      </c>
      <c r="C403" s="34" t="str">
        <f>IFERROR(__xludf.DUMMYFUNCTION("""COMPUTED_VALUE"""),"GENEPIO:0100054")</f>
        <v>GENEPIO:0100054</v>
      </c>
      <c r="D403" s="29" t="str">
        <f>IFERROR(__xludf.DUMMYFUNCTION("""COMPUTED_VALUE"""),"An age group that stratifies the age of a case to be between 50 to 59 years old (inclusive).")</f>
        <v>An age group that stratifies the age of a case to be between 50 to 59 years old (inclusive).</v>
      </c>
      <c r="H403" s="55" t="s">
        <v>19</v>
      </c>
      <c r="I403" s="55" t="s">
        <v>19</v>
      </c>
      <c r="J403" s="55" t="s">
        <v>19</v>
      </c>
      <c r="K403" s="55" t="str">
        <f t="shared" si="30"/>
        <v>International</v>
      </c>
      <c r="M403" s="40"/>
    </row>
    <row r="404" hidden="1">
      <c r="A404" s="34"/>
      <c r="B404" s="53" t="str">
        <f>IFERROR(__xludf.DUMMYFUNCTION("""COMPUTED_VALUE"""),"60 - 69 [GENEPIO:0100055]                    ")</f>
        <v>60 - 69 [GENEPIO:0100055]                    </v>
      </c>
      <c r="C404" s="34" t="str">
        <f>IFERROR(__xludf.DUMMYFUNCTION("""COMPUTED_VALUE"""),"GENEPIO:0100055")</f>
        <v>GENEPIO:0100055</v>
      </c>
      <c r="D404" s="29" t="str">
        <f>IFERROR(__xludf.DUMMYFUNCTION("""COMPUTED_VALUE"""),"An age group that stratifies the age of a case to be between 60 to 69 years old (inclusive).")</f>
        <v>An age group that stratifies the age of a case to be between 60 to 69 years old (inclusive).</v>
      </c>
      <c r="H404" s="55" t="s">
        <v>19</v>
      </c>
      <c r="I404" s="55" t="s">
        <v>19</v>
      </c>
      <c r="J404" s="55" t="s">
        <v>19</v>
      </c>
      <c r="K404" s="55" t="str">
        <f t="shared" si="30"/>
        <v>International</v>
      </c>
      <c r="M404" s="40"/>
    </row>
    <row r="405" hidden="1">
      <c r="A405" s="34"/>
      <c r="B405" s="53" t="str">
        <f>IFERROR(__xludf.DUMMYFUNCTION("""COMPUTED_VALUE"""),"70 - 79 [GENEPIO:0100056]                    ")</f>
        <v>70 - 79 [GENEPIO:0100056]                    </v>
      </c>
      <c r="C405" s="34" t="str">
        <f>IFERROR(__xludf.DUMMYFUNCTION("""COMPUTED_VALUE"""),"GENEPIO:0100056")</f>
        <v>GENEPIO:0100056</v>
      </c>
      <c r="D405" s="29" t="str">
        <f>IFERROR(__xludf.DUMMYFUNCTION("""COMPUTED_VALUE"""),"An age group that stratifies the age of a case to be between 70 to 79 years old (inclusive).")</f>
        <v>An age group that stratifies the age of a case to be between 70 to 79 years old (inclusive).</v>
      </c>
      <c r="H405" s="55" t="s">
        <v>19</v>
      </c>
      <c r="I405" s="55" t="s">
        <v>19</v>
      </c>
      <c r="J405" s="55" t="s">
        <v>19</v>
      </c>
      <c r="K405" s="55" t="str">
        <f t="shared" si="30"/>
        <v>International</v>
      </c>
      <c r="M405" s="40"/>
    </row>
    <row r="406" hidden="1">
      <c r="A406" s="29"/>
      <c r="B406" s="53" t="str">
        <f>IFERROR(__xludf.DUMMYFUNCTION("""COMPUTED_VALUE"""),"80 - 89 [GENEPIO:0100057]                    ")</f>
        <v>80 - 89 [GENEPIO:0100057]                    </v>
      </c>
      <c r="C406" s="29" t="str">
        <f>IFERROR(__xludf.DUMMYFUNCTION("""COMPUTED_VALUE"""),"GENEPIO:0100057")</f>
        <v>GENEPIO:0100057</v>
      </c>
      <c r="D406" s="29" t="str">
        <f>IFERROR(__xludf.DUMMYFUNCTION("""COMPUTED_VALUE"""),"An age group that stratifies the age of a case to be between 80 to 89 years old (inclusive).")</f>
        <v>An age group that stratifies the age of a case to be between 80 to 89 years old (inclusive).</v>
      </c>
      <c r="E406" s="29"/>
      <c r="F406" s="29"/>
      <c r="G406" s="29"/>
      <c r="H406" s="29"/>
      <c r="I406" s="29"/>
      <c r="J406" s="29"/>
      <c r="K406" s="55" t="str">
        <f t="shared" si="30"/>
        <v>International</v>
      </c>
      <c r="M406" s="40"/>
    </row>
    <row r="407" hidden="1">
      <c r="A407" s="29"/>
      <c r="B407" s="53" t="str">
        <f>IFERROR(__xludf.DUMMYFUNCTION("""COMPUTED_VALUE"""),"90 - 99 [GENEPIO:0100058]                    ")</f>
        <v>90 - 99 [GENEPIO:0100058]                    </v>
      </c>
      <c r="C407" s="29" t="str">
        <f>IFERROR(__xludf.DUMMYFUNCTION("""COMPUTED_VALUE"""),"GENEPIO:0100058")</f>
        <v>GENEPIO:0100058</v>
      </c>
      <c r="D407" s="29" t="str">
        <f>IFERROR(__xludf.DUMMYFUNCTION("""COMPUTED_VALUE"""),"An age group that stratifies the age of a case to be between 90 to 99 years old (inclusive).")</f>
        <v>An age group that stratifies the age of a case to be between 90 to 99 years old (inclusive).</v>
      </c>
      <c r="E407" s="29"/>
      <c r="F407" s="29"/>
      <c r="G407" s="29"/>
      <c r="H407" s="56" t="s">
        <v>19</v>
      </c>
      <c r="I407" s="56" t="s">
        <v>19</v>
      </c>
      <c r="J407" s="56" t="s">
        <v>19</v>
      </c>
      <c r="K407" s="55" t="str">
        <f t="shared" si="30"/>
        <v>International</v>
      </c>
      <c r="M407" s="40"/>
    </row>
    <row r="408" hidden="1">
      <c r="A408" s="29"/>
      <c r="B408" s="53" t="str">
        <f>IFERROR(__xludf.DUMMYFUNCTION("""COMPUTED_VALUE"""),"100+ [GENEPIO:0100059]                    ")</f>
        <v>100+ [GENEPIO:0100059]                    </v>
      </c>
      <c r="C408" s="29" t="str">
        <f>IFERROR(__xludf.DUMMYFUNCTION("""COMPUTED_VALUE"""),"GENEPIO:0100059")</f>
        <v>GENEPIO:0100059</v>
      </c>
      <c r="D408" s="29" t="str">
        <f>IFERROR(__xludf.DUMMYFUNCTION("""COMPUTED_VALUE"""),"An age group that stratifies the age of a case to be greater than or equal to 100 years old.")</f>
        <v>An age group that stratifies the age of a case to be greater than or equal to 100 years old.</v>
      </c>
      <c r="E408" s="29"/>
      <c r="F408" s="29"/>
      <c r="G408" s="29"/>
      <c r="H408" s="56" t="s">
        <v>19</v>
      </c>
      <c r="I408" s="56" t="s">
        <v>19</v>
      </c>
      <c r="J408" s="56" t="s">
        <v>19</v>
      </c>
      <c r="K408" s="55" t="str">
        <f t="shared" si="30"/>
        <v>International</v>
      </c>
      <c r="M408" s="40"/>
    </row>
    <row r="409">
      <c r="A409" s="29" t="str">
        <f>IFERROR(__xludf.DUMMYFUNCTION("""COMPUTED_VALUE"""),"host gender menu")</f>
        <v>host gender menu</v>
      </c>
      <c r="B409" s="53" t="str">
        <f>IFERROR(__xludf.DUMMYFUNCTION("""COMPUTED_VALUE"""),"                    ")</f>
        <v>                    </v>
      </c>
      <c r="C409" s="29"/>
      <c r="D409" s="29" t="str">
        <f>IFERROR(__xludf.DUMMYFUNCTION("""COMPUTED_VALUE"""),"")</f>
        <v/>
      </c>
      <c r="E409" s="29"/>
      <c r="F409" s="29"/>
      <c r="G409" s="29"/>
      <c r="H409" s="56"/>
      <c r="I409" s="56"/>
      <c r="J409" s="56"/>
      <c r="K409" s="35" t="s">
        <v>29</v>
      </c>
      <c r="L409" s="34" t="str">
        <f>LEFT(A409, LEN(A409) - 5)
</f>
        <v>host gender</v>
      </c>
      <c r="M409" s="34" t="str">
        <f>VLOOKUP(L409,'Field Reference Guide'!$B$6:$N$220,13,false)</f>
        <v>Mpox</v>
      </c>
    </row>
    <row r="410">
      <c r="A410" s="29"/>
      <c r="B410" s="53" t="str">
        <f>IFERROR(__xludf.DUMMYFUNCTION("""COMPUTED_VALUE"""),"Female                    ")</f>
        <v>Female                    </v>
      </c>
      <c r="C410" s="29" t="str">
        <f>IFERROR(__xludf.DUMMYFUNCTION("""COMPUTED_VALUE"""),"NCIT:C46110")</f>
        <v>NCIT:C46110</v>
      </c>
      <c r="D410" s="29" t="str">
        <f>IFERROR(__xludf.DUMMYFUNCTION("""COMPUTED_VALUE"""),"An individual who reports belonging to the cultural gender role distinction of female.")</f>
        <v>An individual who reports belonging to the cultural gender role distinction of female.</v>
      </c>
      <c r="E410" s="29"/>
      <c r="F410" s="29"/>
      <c r="G410" s="29"/>
      <c r="H410" s="56" t="s">
        <v>19</v>
      </c>
      <c r="I410" s="56" t="s">
        <v>19</v>
      </c>
      <c r="J410" s="56" t="s">
        <v>19</v>
      </c>
      <c r="K410" s="55" t="str">
        <f t="shared" ref="K410:K415" si="31">K409</f>
        <v>MPox</v>
      </c>
      <c r="M410" s="57" t="s">
        <v>26</v>
      </c>
    </row>
    <row r="411">
      <c r="A411" s="29"/>
      <c r="B411" s="53" t="str">
        <f>IFERROR(__xludf.DUMMYFUNCTION("""COMPUTED_VALUE"""),"Male                    ")</f>
        <v>Male                    </v>
      </c>
      <c r="C411" s="29" t="str">
        <f>IFERROR(__xludf.DUMMYFUNCTION("""COMPUTED_VALUE"""),"NCIT:C46109")</f>
        <v>NCIT:C46109</v>
      </c>
      <c r="D411" s="29" t="str">
        <f>IFERROR(__xludf.DUMMYFUNCTION("""COMPUTED_VALUE"""),"An individual who reports belonging to the cultural gender role distinction of male.")</f>
        <v>An individual who reports belonging to the cultural gender role distinction of male.</v>
      </c>
      <c r="E411" s="29"/>
      <c r="F411" s="29"/>
      <c r="G411" s="29"/>
      <c r="H411" s="56" t="s">
        <v>19</v>
      </c>
      <c r="I411" s="56" t="s">
        <v>19</v>
      </c>
      <c r="J411" s="56" t="s">
        <v>19</v>
      </c>
      <c r="K411" s="55" t="str">
        <f t="shared" si="31"/>
        <v>MPox</v>
      </c>
      <c r="M411" s="40"/>
    </row>
    <row r="412">
      <c r="A412" s="29"/>
      <c r="B412" s="53" t="str">
        <f>IFERROR(__xludf.DUMMYFUNCTION("""COMPUTED_VALUE"""),"Non-binary gender                    ")</f>
        <v>Non-binary gender                    </v>
      </c>
      <c r="C412" s="29" t="str">
        <f>IFERROR(__xludf.DUMMYFUNCTION("""COMPUTED_VALUE"""),"GSSO:000132")</f>
        <v>GSSO:000132</v>
      </c>
      <c r="D412"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E412" s="29"/>
      <c r="F412" s="29"/>
      <c r="G412" s="29"/>
      <c r="H412" s="56" t="s">
        <v>19</v>
      </c>
      <c r="I412" s="56" t="s">
        <v>19</v>
      </c>
      <c r="J412" s="56" t="s">
        <v>19</v>
      </c>
      <c r="K412" s="55" t="str">
        <f t="shared" si="31"/>
        <v>MPox</v>
      </c>
      <c r="M412" s="40"/>
    </row>
    <row r="413">
      <c r="A413" s="29"/>
      <c r="B413" s="53" t="str">
        <f>IFERROR(__xludf.DUMMYFUNCTION("""COMPUTED_VALUE"""),"Transgender (assigned male at birth)                    ")</f>
        <v>Transgender (assigned male at birth)                    </v>
      </c>
      <c r="C413" s="29" t="str">
        <f>IFERROR(__xludf.DUMMYFUNCTION("""COMPUTED_VALUE"""),"GSSO:004004")</f>
        <v>GSSO:004004</v>
      </c>
      <c r="D413" s="29" t="str">
        <f>IFERROR(__xludf.DUMMYFUNCTION("""COMPUTED_VALUE"""),"Having a feminine gender (identity) which is different from the sex one was assigned at birth.")</f>
        <v>Having a feminine gender (identity) which is different from the sex one was assigned at birth.</v>
      </c>
      <c r="E413" s="29"/>
      <c r="F413" s="29"/>
      <c r="G413" s="29"/>
      <c r="H413" s="29"/>
      <c r="I413" s="29"/>
      <c r="J413" s="29"/>
      <c r="K413" s="55" t="str">
        <f t="shared" si="31"/>
        <v>MPox</v>
      </c>
      <c r="M413" s="40"/>
    </row>
    <row r="414">
      <c r="A414" s="34"/>
      <c r="B414" s="53" t="str">
        <f>IFERROR(__xludf.DUMMYFUNCTION("""COMPUTED_VALUE"""),"Transgender (assigned female at birth)                    ")</f>
        <v>Transgender (assigned female at birth)                    </v>
      </c>
      <c r="C414" s="34" t="str">
        <f>IFERROR(__xludf.DUMMYFUNCTION("""COMPUTED_VALUE"""),"GSSO:004005")</f>
        <v>GSSO:004005</v>
      </c>
      <c r="D414" s="29" t="str">
        <f>IFERROR(__xludf.DUMMYFUNCTION("""COMPUTED_VALUE"""),"Having a masculine gender (identity) which is different from the sex one was assigned at birth.")</f>
        <v>Having a masculine gender (identity) which is different from the sex one was assigned at birth.</v>
      </c>
      <c r="K414" s="55" t="str">
        <f t="shared" si="31"/>
        <v>MPox</v>
      </c>
      <c r="M414" s="40"/>
    </row>
    <row r="415">
      <c r="A415" s="34"/>
      <c r="B415" s="53" t="str">
        <f>IFERROR(__xludf.DUMMYFUNCTION("""COMPUTED_VALUE"""),"Undeclared                    ")</f>
        <v>Undeclared                    </v>
      </c>
      <c r="C415" s="34" t="str">
        <f>IFERROR(__xludf.DUMMYFUNCTION("""COMPUTED_VALUE"""),"NCIT:C110959")</f>
        <v>NCIT:C110959</v>
      </c>
      <c r="D415"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15" s="55" t="s">
        <v>19</v>
      </c>
      <c r="I415" s="55" t="s">
        <v>19</v>
      </c>
      <c r="J415" s="55" t="s">
        <v>19</v>
      </c>
      <c r="K415" s="55" t="str">
        <f t="shared" si="31"/>
        <v>MPox</v>
      </c>
      <c r="M415" s="40"/>
    </row>
    <row r="416" hidden="1">
      <c r="A416" s="34" t="str">
        <f>IFERROR(__xludf.DUMMYFUNCTION("""COMPUTED_VALUE"""),"host gender international menu")</f>
        <v>host gender international menu</v>
      </c>
      <c r="B416" s="53" t="str">
        <f>IFERROR(__xludf.DUMMYFUNCTION("""COMPUTED_VALUE"""),"                    ")</f>
        <v>                    </v>
      </c>
      <c r="C416" s="34"/>
      <c r="D416" s="29" t="str">
        <f>IFERROR(__xludf.DUMMYFUNCTION("""COMPUTED_VALUE"""),"")</f>
        <v/>
      </c>
      <c r="E416" s="34"/>
      <c r="F416" s="34"/>
      <c r="G416" s="34"/>
      <c r="H416" s="55"/>
      <c r="I416" s="55"/>
      <c r="J416" s="55"/>
      <c r="K416" s="59" t="s">
        <v>27</v>
      </c>
      <c r="L416" s="34" t="str">
        <f>LEFT(A416, LEN(A416) - 5)
</f>
        <v>host gender international</v>
      </c>
      <c r="M416" s="34" t="str">
        <f>VLOOKUP(L416,'Field Reference Guide'!$B$6:$N$220,13,false)</f>
        <v>#N/A</v>
      </c>
    </row>
    <row r="417" hidden="1">
      <c r="A417" s="34"/>
      <c r="B417" s="53" t="str">
        <f>IFERROR(__xludf.DUMMYFUNCTION("""COMPUTED_VALUE"""),"Female [NCIT:C46110]                    ")</f>
        <v>Female [NCIT:C46110]                    </v>
      </c>
      <c r="C417" s="34" t="str">
        <f>IFERROR(__xludf.DUMMYFUNCTION("""COMPUTED_VALUE"""),"NCIT:C46110")</f>
        <v>NCIT:C46110</v>
      </c>
      <c r="D417" s="29" t="str">
        <f>IFERROR(__xludf.DUMMYFUNCTION("""COMPUTED_VALUE"""),"An individual who reports belonging to the cultural gender role distinction of female.")</f>
        <v>An individual who reports belonging to the cultural gender role distinction of female.</v>
      </c>
      <c r="H417" s="55" t="s">
        <v>19</v>
      </c>
      <c r="I417" s="55" t="s">
        <v>19</v>
      </c>
      <c r="J417" s="55" t="s">
        <v>19</v>
      </c>
      <c r="K417" s="55" t="str">
        <f t="shared" ref="K417:K423" si="32">K416</f>
        <v>International</v>
      </c>
      <c r="M417" s="57" t="s">
        <v>28</v>
      </c>
    </row>
    <row r="418" hidden="1">
      <c r="A418" s="34"/>
      <c r="B418" s="53" t="str">
        <f>IFERROR(__xludf.DUMMYFUNCTION("""COMPUTED_VALUE"""),"Male [NCIT:C46109]                    ")</f>
        <v>Male [NCIT:C46109]                    </v>
      </c>
      <c r="C418" s="34" t="str">
        <f>IFERROR(__xludf.DUMMYFUNCTION("""COMPUTED_VALUE"""),"NCIT:C46109")</f>
        <v>NCIT:C46109</v>
      </c>
      <c r="D418" s="29" t="str">
        <f>IFERROR(__xludf.DUMMYFUNCTION("""COMPUTED_VALUE"""),"An individual who reports belonging to the cultural gender role distinction of male.")</f>
        <v>An individual who reports belonging to the cultural gender role distinction of male.</v>
      </c>
      <c r="H418" s="55" t="s">
        <v>19</v>
      </c>
      <c r="I418" s="55" t="s">
        <v>19</v>
      </c>
      <c r="J418" s="55" t="s">
        <v>19</v>
      </c>
      <c r="K418" s="55" t="str">
        <f t="shared" si="32"/>
        <v>International</v>
      </c>
      <c r="M418" s="40"/>
    </row>
    <row r="419" hidden="1">
      <c r="A419" s="34"/>
      <c r="B419" s="53" t="str">
        <f>IFERROR(__xludf.DUMMYFUNCTION("""COMPUTED_VALUE"""),"Non-binary gender [GSSO:000132]                    ")</f>
        <v>Non-binary gender [GSSO:000132]                    </v>
      </c>
      <c r="C419" s="34" t="str">
        <f>IFERROR(__xludf.DUMMYFUNCTION("""COMPUTED_VALUE"""),"GSSO:000132")</f>
        <v>GSSO:000132</v>
      </c>
      <c r="D419" s="29" t="str">
        <f>IFERROR(__xludf.DUMMYFUNCTION("""COMPUTED_VALUE"""),"Either, a specific gender identity which is not male or female; or, more broadly, an umbrella term for gender identities not considered male or female.")</f>
        <v>Either, a specific gender identity which is not male or female; or, more broadly, an umbrella term for gender identities not considered male or female.</v>
      </c>
      <c r="H419" s="55" t="s">
        <v>19</v>
      </c>
      <c r="I419" s="55" t="s">
        <v>19</v>
      </c>
      <c r="J419" s="55" t="s">
        <v>19</v>
      </c>
      <c r="K419" s="55" t="str">
        <f t="shared" si="32"/>
        <v>International</v>
      </c>
      <c r="M419" s="40"/>
    </row>
    <row r="420" hidden="1">
      <c r="A420" s="34"/>
      <c r="B420" s="53" t="str">
        <f>IFERROR(__xludf.DUMMYFUNCTION("""COMPUTED_VALUE"""),"Transgender (assigned male at birth) [GSSO:004004]                    ")</f>
        <v>Transgender (assigned male at birth) [GSSO:004004]                    </v>
      </c>
      <c r="C420" s="34" t="str">
        <f>IFERROR(__xludf.DUMMYFUNCTION("""COMPUTED_VALUE"""),"GSSO:004004")</f>
        <v>GSSO:004004</v>
      </c>
      <c r="D420" s="29" t="str">
        <f>IFERROR(__xludf.DUMMYFUNCTION("""COMPUTED_VALUE"""),"Having a feminine gender (identity) which is different from the sex one was assigned at birth.")</f>
        <v>Having a feminine gender (identity) which is different from the sex one was assigned at birth.</v>
      </c>
      <c r="H420" s="55" t="s">
        <v>19</v>
      </c>
      <c r="I420" s="55" t="s">
        <v>19</v>
      </c>
      <c r="J420" s="55" t="s">
        <v>19</v>
      </c>
      <c r="K420" s="55" t="str">
        <f t="shared" si="32"/>
        <v>International</v>
      </c>
      <c r="M420" s="40"/>
    </row>
    <row r="421" hidden="1">
      <c r="A421" s="34"/>
      <c r="B421" s="53" t="str">
        <f>IFERROR(__xludf.DUMMYFUNCTION("""COMPUTED_VALUE"""),"Transgender (assigned female at birth) [GSSO:004005]                    ")</f>
        <v>Transgender (assigned female at birth) [GSSO:004005]                    </v>
      </c>
      <c r="C421" s="34" t="str">
        <f>IFERROR(__xludf.DUMMYFUNCTION("""COMPUTED_VALUE"""),"GSSO:004005")</f>
        <v>GSSO:004005</v>
      </c>
      <c r="D421" s="29" t="str">
        <f>IFERROR(__xludf.DUMMYFUNCTION("""COMPUTED_VALUE"""),"Having a masculine gender (identity) which is different from the sex one was assigned at birth.")</f>
        <v>Having a masculine gender (identity) which is different from the sex one was assigned at birth.</v>
      </c>
      <c r="H421" s="55" t="s">
        <v>19</v>
      </c>
      <c r="I421" s="55" t="s">
        <v>19</v>
      </c>
      <c r="J421" s="55" t="s">
        <v>19</v>
      </c>
      <c r="K421" s="55" t="str">
        <f t="shared" si="32"/>
        <v>International</v>
      </c>
      <c r="M421" s="40"/>
    </row>
    <row r="422" hidden="1">
      <c r="A422" s="34"/>
      <c r="B422" s="53" t="str">
        <f>IFERROR(__xludf.DUMMYFUNCTION("""COMPUTED_VALUE"""),"Undeclared [NCIT:C110959]                    ")</f>
        <v>Undeclared [NCIT:C110959]                    </v>
      </c>
      <c r="C422" s="34" t="str">
        <f>IFERROR(__xludf.DUMMYFUNCTION("""COMPUTED_VALUE"""),"NCIT:C110959")</f>
        <v>NCIT:C110959</v>
      </c>
      <c r="D422" s="29" t="str">
        <f>IFERROR(__xludf.DUMMYFUNCTION("""COMPUTED_VALUE"""),"A categorical choice recorded when an individual being interviewed is unable or chooses not to provide a datum.")</f>
        <v>A categorical choice recorded when an individual being interviewed is unable or chooses not to provide a datum.</v>
      </c>
      <c r="H422" s="55" t="s">
        <v>19</v>
      </c>
      <c r="I422" s="55" t="s">
        <v>19</v>
      </c>
      <c r="J422" s="55" t="s">
        <v>19</v>
      </c>
      <c r="K422" s="55" t="str">
        <f t="shared" si="32"/>
        <v>International</v>
      </c>
      <c r="M422" s="40"/>
    </row>
    <row r="423" hidden="1">
      <c r="A423" s="34"/>
      <c r="B423" s="53" t="str">
        <f>IFERROR(__xludf.DUMMYFUNCTION("""COMPUTED_VALUE"""),"                    ")</f>
        <v>                    </v>
      </c>
      <c r="C423" s="34"/>
      <c r="D423" s="29" t="str">
        <f>IFERROR(__xludf.DUMMYFUNCTION("""COMPUTED_VALUE"""),"")</f>
        <v/>
      </c>
      <c r="H423" s="55" t="s">
        <v>19</v>
      </c>
      <c r="I423" s="55" t="s">
        <v>19</v>
      </c>
      <c r="J423" s="55" t="s">
        <v>19</v>
      </c>
      <c r="K423" s="55" t="str">
        <f t="shared" si="32"/>
        <v>International</v>
      </c>
      <c r="M423" s="58"/>
    </row>
    <row r="424">
      <c r="A424" s="34" t="str">
        <f>IFERROR(__xludf.DUMMYFUNCTION("""COMPUTED_VALUE"""),"signs and symptoms menu")</f>
        <v>signs and symptoms menu</v>
      </c>
      <c r="B424" s="53" t="str">
        <f>IFERROR(__xludf.DUMMYFUNCTION("""COMPUTED_VALUE"""),"                    ")</f>
        <v>                    </v>
      </c>
      <c r="C424" s="34"/>
      <c r="D424" s="29" t="str">
        <f>IFERROR(__xludf.DUMMYFUNCTION("""COMPUTED_VALUE"""),"")</f>
        <v/>
      </c>
      <c r="E424" s="34"/>
      <c r="F424" s="34"/>
      <c r="G424" s="34"/>
      <c r="H424" s="55"/>
      <c r="I424" s="55"/>
      <c r="J424" s="55"/>
      <c r="K424" s="55" t="s">
        <v>26</v>
      </c>
      <c r="L424" s="34" t="str">
        <f>LEFT(A424, LEN(A424) - 5)
</f>
        <v>signs and symptoms</v>
      </c>
      <c r="M424" s="34" t="str">
        <f>VLOOKUP(L424,'Field Reference Guide'!$B$6:$N$220,13,false)</f>
        <v>Mpox</v>
      </c>
    </row>
    <row r="425">
      <c r="A425" s="34"/>
      <c r="B425" s="53" t="str">
        <f>IFERROR(__xludf.DUMMYFUNCTION("""COMPUTED_VALUE"""),"Chills (sudden cold sensation)                    ")</f>
        <v>Chills (sudden cold sensation)                    </v>
      </c>
      <c r="C425" s="34" t="str">
        <f>IFERROR(__xludf.DUMMYFUNCTION("""COMPUTED_VALUE"""),"HP:0025143")</f>
        <v>HP:0025143</v>
      </c>
      <c r="D425" s="29" t="str">
        <f>IFERROR(__xludf.DUMMYFUNCTION("""COMPUTED_VALUE"""),"A sudden sensation of feeling cold.")</f>
        <v>A sudden sensation of feeling cold.</v>
      </c>
      <c r="H425" s="55" t="s">
        <v>19</v>
      </c>
      <c r="I425" s="55" t="s">
        <v>19</v>
      </c>
      <c r="J425" s="55" t="s">
        <v>19</v>
      </c>
      <c r="K425" s="55" t="str">
        <f t="shared" ref="K425:K446" si="33">K424</f>
        <v>Mpox</v>
      </c>
      <c r="M425" s="57" t="s">
        <v>26</v>
      </c>
    </row>
    <row r="426">
      <c r="A426" s="34"/>
      <c r="B426" s="53" t="str">
        <f>IFERROR(__xludf.DUMMYFUNCTION("""COMPUTED_VALUE"""),"Conjunctivitis (pink eye)                    ")</f>
        <v>Conjunctivitis (pink eye)                    </v>
      </c>
      <c r="C426" s="34" t="str">
        <f>IFERROR(__xludf.DUMMYFUNCTION("""COMPUTED_VALUE"""),"HP:0000509")</f>
        <v>HP:0000509</v>
      </c>
      <c r="D426" s="29" t="str">
        <f>IFERROR(__xludf.DUMMYFUNCTION("""COMPUTED_VALUE"""),"Inflammation of the conjunctiva.")</f>
        <v>Inflammation of the conjunctiva.</v>
      </c>
      <c r="H426" s="55" t="s">
        <v>19</v>
      </c>
      <c r="I426" s="55" t="s">
        <v>19</v>
      </c>
      <c r="J426" s="55" t="s">
        <v>19</v>
      </c>
      <c r="K426" s="55" t="str">
        <f t="shared" si="33"/>
        <v>Mpox</v>
      </c>
      <c r="M426" s="40"/>
    </row>
    <row r="427">
      <c r="A427" s="34"/>
      <c r="B427" s="53" t="str">
        <f>IFERROR(__xludf.DUMMYFUNCTION("""COMPUTED_VALUE"""),"Cough                    ")</f>
        <v>Cough                    </v>
      </c>
      <c r="C427" s="34" t="str">
        <f>IFERROR(__xludf.DUMMYFUNCTION("""COMPUTED_VALUE"""),"HP:0012735")</f>
        <v>HP:0012735</v>
      </c>
      <c r="D427" s="29" t="str">
        <f>IFERROR(__xludf.DUMMYFUNCTION("""COMPUTED_VALUE"""),"A sudden, audible expulsion of air from the lungs through a partially closed glottis, preceded by inhalation.")</f>
        <v>A sudden, audible expulsion of air from the lungs through a partially closed glottis, preceded by inhalation.</v>
      </c>
      <c r="H427" s="55" t="s">
        <v>19</v>
      </c>
      <c r="I427" s="55" t="s">
        <v>19</v>
      </c>
      <c r="J427" s="55" t="s">
        <v>19</v>
      </c>
      <c r="K427" s="55" t="str">
        <f t="shared" si="33"/>
        <v>Mpox</v>
      </c>
      <c r="M427" s="40"/>
    </row>
    <row r="428">
      <c r="A428" s="34"/>
      <c r="B428" s="53" t="str">
        <f>IFERROR(__xludf.DUMMYFUNCTION("""COMPUTED_VALUE"""),"Fatigue (tiredness)                    ")</f>
        <v>Fatigue (tiredness)                    </v>
      </c>
      <c r="C428" s="34" t="str">
        <f>IFERROR(__xludf.DUMMYFUNCTION("""COMPUTED_VALUE"""),"HP:0012378")</f>
        <v>HP:0012378</v>
      </c>
      <c r="D428" s="29" t="str">
        <f>IFERROR(__xludf.DUMMYFUNCTION("""COMPUTED_VALUE"""),"A subjective feeling of tiredness characterized by a lack of energy and motivation.")</f>
        <v>A subjective feeling of tiredness characterized by a lack of energy and motivation.</v>
      </c>
      <c r="H428" s="55" t="s">
        <v>19</v>
      </c>
      <c r="I428" s="55" t="s">
        <v>19</v>
      </c>
      <c r="J428" s="55" t="s">
        <v>19</v>
      </c>
      <c r="K428" s="55" t="str">
        <f t="shared" si="33"/>
        <v>Mpox</v>
      </c>
      <c r="M428" s="40"/>
    </row>
    <row r="429">
      <c r="A429" s="34"/>
      <c r="B429" s="53" t="str">
        <f>IFERROR(__xludf.DUMMYFUNCTION("""COMPUTED_VALUE"""),"Fever                    ")</f>
        <v>Fever                    </v>
      </c>
      <c r="C429" s="34" t="str">
        <f>IFERROR(__xludf.DUMMYFUNCTION("""COMPUTED_VALUE"""),"HP:0001945")</f>
        <v>HP:0001945</v>
      </c>
      <c r="D429" s="29" t="str">
        <f>IFERROR(__xludf.DUMMYFUNCTION("""COMPUTED_VALUE"""),"Body temperature elevated above the normal range.")</f>
        <v>Body temperature elevated above the normal range.</v>
      </c>
      <c r="H429" s="55" t="s">
        <v>19</v>
      </c>
      <c r="I429" s="55" t="s">
        <v>19</v>
      </c>
      <c r="J429" s="55" t="s">
        <v>19</v>
      </c>
      <c r="K429" s="55" t="str">
        <f t="shared" si="33"/>
        <v>Mpox</v>
      </c>
      <c r="M429" s="40"/>
    </row>
    <row r="430">
      <c r="A430" s="34"/>
      <c r="B430" s="53" t="str">
        <f>IFERROR(__xludf.DUMMYFUNCTION("""COMPUTED_VALUE"""),"Headache                    ")</f>
        <v>Headache                    </v>
      </c>
      <c r="C430" s="34" t="str">
        <f>IFERROR(__xludf.DUMMYFUNCTION("""COMPUTED_VALUE"""),"HP:0002315")</f>
        <v>HP:0002315</v>
      </c>
      <c r="D430" s="29" t="str">
        <f>IFERROR(__xludf.DUMMYFUNCTION("""COMPUTED_VALUE"""),"Cephalgia, or pain sensed in various parts of the head, not confined to the area of distribution of any nerve.")</f>
        <v>Cephalgia, or pain sensed in various parts of the head, not confined to the area of distribution of any nerve.</v>
      </c>
      <c r="H430" s="55" t="s">
        <v>19</v>
      </c>
      <c r="I430" s="55" t="s">
        <v>19</v>
      </c>
      <c r="J430" s="55" t="s">
        <v>19</v>
      </c>
      <c r="K430" s="55" t="str">
        <f t="shared" si="33"/>
        <v>Mpox</v>
      </c>
      <c r="M430" s="40"/>
    </row>
    <row r="431">
      <c r="A431" s="34"/>
      <c r="B431" s="53" t="str">
        <f>IFERROR(__xludf.DUMMYFUNCTION("""COMPUTED_VALUE"""),"Lesion                    ")</f>
        <v>Lesion                    </v>
      </c>
      <c r="C431" s="34" t="str">
        <f>IFERROR(__xludf.DUMMYFUNCTION("""COMPUTED_VALUE"""),"NCIT:C3824")</f>
        <v>NCIT:C3824</v>
      </c>
      <c r="D431"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H431" s="55" t="s">
        <v>19</v>
      </c>
      <c r="I431" s="55" t="s">
        <v>19</v>
      </c>
      <c r="J431" s="55" t="s">
        <v>19</v>
      </c>
      <c r="K431" s="55" t="str">
        <f t="shared" si="33"/>
        <v>Mpox</v>
      </c>
      <c r="M431" s="40"/>
    </row>
    <row r="432">
      <c r="A432" s="34"/>
      <c r="B432" s="53" t="str">
        <f>IFERROR(__xludf.DUMMYFUNCTION("""COMPUTED_VALUE"""),"     Lesion (Macule)               ")</f>
        <v>     Lesion (Macule)               </v>
      </c>
      <c r="C432" s="34" t="str">
        <f>IFERROR(__xludf.DUMMYFUNCTION("""COMPUTED_VALUE"""),"NCIT:C43278")</f>
        <v>NCIT:C43278</v>
      </c>
      <c r="D432" s="29" t="str">
        <f>IFERROR(__xludf.DUMMYFUNCTION("""COMPUTED_VALUE"""),"A flat lesion characterized by change in the skin color.")</f>
        <v>A flat lesion characterized by change in the skin color.</v>
      </c>
      <c r="H432" s="55" t="s">
        <v>19</v>
      </c>
      <c r="I432" s="55" t="s">
        <v>19</v>
      </c>
      <c r="J432" s="55" t="s">
        <v>19</v>
      </c>
      <c r="K432" s="55" t="str">
        <f t="shared" si="33"/>
        <v>Mpox</v>
      </c>
      <c r="M432" s="40"/>
    </row>
    <row r="433">
      <c r="A433" s="34"/>
      <c r="B433" s="53" t="str">
        <f>IFERROR(__xludf.DUMMYFUNCTION("""COMPUTED_VALUE"""),"     Lesion (Papule)               ")</f>
        <v>     Lesion (Papule)               </v>
      </c>
      <c r="C433" s="39" t="str">
        <f>IFERROR(__xludf.DUMMYFUNCTION("""COMPUTED_VALUE"""),"NCIT:C39690")</f>
        <v>NCIT:C39690</v>
      </c>
      <c r="D433" s="29" t="str">
        <f>IFERROR(__xludf.DUMMYFUNCTION("""COMPUTED_VALUE"""),"A small (less than 5-10 mm) elevation of skin that is non-suppurative.")</f>
        <v>A small (less than 5-10 mm) elevation of skin that is non-suppurative.</v>
      </c>
      <c r="H433" s="55" t="s">
        <v>19</v>
      </c>
      <c r="I433" s="55" t="s">
        <v>19</v>
      </c>
      <c r="J433" s="55" t="s">
        <v>19</v>
      </c>
      <c r="K433" s="55" t="str">
        <f t="shared" si="33"/>
        <v>Mpox</v>
      </c>
      <c r="M433" s="40"/>
    </row>
    <row r="434">
      <c r="A434" s="34"/>
      <c r="B434" s="53" t="str">
        <f>IFERROR(__xludf.DUMMYFUNCTION("""COMPUTED_VALUE"""),"     Lesion (Pustule)               ")</f>
        <v>     Lesion (Pustule)               </v>
      </c>
      <c r="C434" s="39" t="str">
        <f>IFERROR(__xludf.DUMMYFUNCTION("""COMPUTED_VALUE"""),"NCIT:C78582")</f>
        <v>NCIT:C78582</v>
      </c>
      <c r="D434" s="29" t="str">
        <f>IFERROR(__xludf.DUMMYFUNCTION("""COMPUTED_VALUE"""),"A circumscribed and elevated skin lesion filled with purulent material.")</f>
        <v>A circumscribed and elevated skin lesion filled with purulent material.</v>
      </c>
      <c r="H434" s="55" t="s">
        <v>19</v>
      </c>
      <c r="I434" s="55" t="s">
        <v>19</v>
      </c>
      <c r="J434" s="55" t="s">
        <v>19</v>
      </c>
      <c r="K434" s="55" t="str">
        <f t="shared" si="33"/>
        <v>Mpox</v>
      </c>
      <c r="M434" s="40"/>
    </row>
    <row r="435">
      <c r="A435" s="34"/>
      <c r="B435" s="53" t="str">
        <f>IFERROR(__xludf.DUMMYFUNCTION("""COMPUTED_VALUE"""),"     Lesion (Scab)               ")</f>
        <v>     Lesion (Scab)               </v>
      </c>
      <c r="C435" s="34" t="str">
        <f>IFERROR(__xludf.DUMMYFUNCTION("""COMPUTED_VALUE"""),"GENEPIO:0100490")</f>
        <v>GENEPIO:0100490</v>
      </c>
      <c r="D435" s="29" t="str">
        <f>IFERROR(__xludf.DUMMYFUNCTION("""COMPUTED_VALUE"""),"Dried purulent material on the skin from a skin lesion.")</f>
        <v>Dried purulent material on the skin from a skin lesion.</v>
      </c>
      <c r="H435" s="55" t="s">
        <v>19</v>
      </c>
      <c r="I435" s="55" t="s">
        <v>19</v>
      </c>
      <c r="J435" s="55" t="s">
        <v>19</v>
      </c>
      <c r="K435" s="55" t="str">
        <f t="shared" si="33"/>
        <v>Mpox</v>
      </c>
      <c r="M435" s="40"/>
    </row>
    <row r="436">
      <c r="A436" s="29"/>
      <c r="B436" s="53" t="str">
        <f>IFERROR(__xludf.DUMMYFUNCTION("""COMPUTED_VALUE"""),"     Lesion (Vesicle)               ")</f>
        <v>     Lesion (Vesicle)               </v>
      </c>
      <c r="C436" s="29" t="str">
        <f>IFERROR(__xludf.DUMMYFUNCTION("""COMPUTED_VALUE"""),"GENEPIO:0100491")</f>
        <v>GENEPIO:0100491</v>
      </c>
      <c r="D436" s="29" t="str">
        <f>IFERROR(__xludf.DUMMYFUNCTION("""COMPUTED_VALUE"""),"Small, inflamed, pus-filled, blister-like sores (lesions) on the skin surface.")</f>
        <v>Small, inflamed, pus-filled, blister-like sores (lesions) on the skin surface.</v>
      </c>
      <c r="E436" s="29"/>
      <c r="F436" s="29"/>
      <c r="G436" s="29"/>
      <c r="H436" s="29"/>
      <c r="I436" s="29"/>
      <c r="J436" s="29"/>
      <c r="K436" s="55" t="str">
        <f t="shared" si="33"/>
        <v>Mpox</v>
      </c>
      <c r="M436" s="40"/>
    </row>
    <row r="437">
      <c r="A437" s="29"/>
      <c r="B437" s="53" t="str">
        <f>IFERROR(__xludf.DUMMYFUNCTION("""COMPUTED_VALUE"""),"Myalgia (muscle pain)                    ")</f>
        <v>Myalgia (muscle pain)                    </v>
      </c>
      <c r="C437" s="29" t="str">
        <f>IFERROR(__xludf.DUMMYFUNCTION("""COMPUTED_VALUE"""),"HP:0003326")</f>
        <v>HP:0003326</v>
      </c>
      <c r="D437" s="29" t="str">
        <f>IFERROR(__xludf.DUMMYFUNCTION("""COMPUTED_VALUE"""),"Pain in muscle.")</f>
        <v>Pain in muscle.</v>
      </c>
      <c r="E437" s="29"/>
      <c r="F437" s="29"/>
      <c r="G437" s="29"/>
      <c r="H437" s="29"/>
      <c r="I437" s="29"/>
      <c r="J437" s="29"/>
      <c r="K437" s="55" t="str">
        <f t="shared" si="33"/>
        <v>Mpox</v>
      </c>
      <c r="M437" s="40"/>
    </row>
    <row r="438">
      <c r="A438" s="29"/>
      <c r="B438" s="53" t="str">
        <f>IFERROR(__xludf.DUMMYFUNCTION("""COMPUTED_VALUE"""),"     Back pain               ")</f>
        <v>     Back pain               </v>
      </c>
      <c r="C438" s="29" t="str">
        <f>IFERROR(__xludf.DUMMYFUNCTION("""COMPUTED_VALUE"""),"HP:0003418")</f>
        <v>HP:0003418</v>
      </c>
      <c r="D438"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E438" s="29"/>
      <c r="F438" s="29"/>
      <c r="G438" s="29"/>
      <c r="H438" s="56" t="s">
        <v>19</v>
      </c>
      <c r="I438" s="56" t="s">
        <v>19</v>
      </c>
      <c r="J438" s="56" t="s">
        <v>19</v>
      </c>
      <c r="K438" s="55" t="str">
        <f t="shared" si="33"/>
        <v>Mpox</v>
      </c>
      <c r="M438" s="40"/>
    </row>
    <row r="439">
      <c r="A439" s="29"/>
      <c r="B439" s="53" t="str">
        <f>IFERROR(__xludf.DUMMYFUNCTION("""COMPUTED_VALUE"""),"Nausea                    ")</f>
        <v>Nausea                    </v>
      </c>
      <c r="C439" s="29" t="str">
        <f>IFERROR(__xludf.DUMMYFUNCTION("""COMPUTED_VALUE"""),"HP:0002018")</f>
        <v>HP:0002018</v>
      </c>
      <c r="D439" s="29" t="str">
        <f>IFERROR(__xludf.DUMMYFUNCTION("""COMPUTED_VALUE"""),"A sensation of unease in the stomach together with an urge to vomit.")</f>
        <v>A sensation of unease in the stomach together with an urge to vomit.</v>
      </c>
      <c r="E439" s="29"/>
      <c r="F439" s="29"/>
      <c r="G439" s="29"/>
      <c r="H439" s="56" t="s">
        <v>19</v>
      </c>
      <c r="I439" s="56" t="s">
        <v>19</v>
      </c>
      <c r="J439" s="56" t="s">
        <v>19</v>
      </c>
      <c r="K439" s="55" t="str">
        <f t="shared" si="33"/>
        <v>Mpox</v>
      </c>
      <c r="M439" s="40"/>
    </row>
    <row r="440">
      <c r="A440" s="29"/>
      <c r="B440" s="53" t="str">
        <f>IFERROR(__xludf.DUMMYFUNCTION("""COMPUTED_VALUE"""),"Rash                    ")</f>
        <v>Rash                    </v>
      </c>
      <c r="C440" s="29" t="str">
        <f>IFERROR(__xludf.DUMMYFUNCTION("""COMPUTED_VALUE"""),"HP:0000988")</f>
        <v>HP:0000988</v>
      </c>
      <c r="D440" s="29" t="str">
        <f>IFERROR(__xludf.DUMMYFUNCTION("""COMPUTED_VALUE"""),"A red eruption of the skin.")</f>
        <v>A red eruption of the skin.</v>
      </c>
      <c r="E440" s="29"/>
      <c r="F440" s="29"/>
      <c r="G440" s="29"/>
      <c r="H440" s="56" t="s">
        <v>19</v>
      </c>
      <c r="I440" s="56" t="s">
        <v>19</v>
      </c>
      <c r="J440" s="56" t="s">
        <v>19</v>
      </c>
      <c r="K440" s="55" t="str">
        <f t="shared" si="33"/>
        <v>Mpox</v>
      </c>
      <c r="M440" s="40"/>
    </row>
    <row r="441">
      <c r="A441" s="29"/>
      <c r="B441" s="53" t="str">
        <f>IFERROR(__xludf.DUMMYFUNCTION("""COMPUTED_VALUE"""),"Sore throat                    ")</f>
        <v>Sore throat                    </v>
      </c>
      <c r="C441" s="29" t="str">
        <f>IFERROR(__xludf.DUMMYFUNCTION("""COMPUTED_VALUE"""),"NCIT:C50747")</f>
        <v>NCIT:C50747</v>
      </c>
      <c r="D441" s="29" t="str">
        <f>IFERROR(__xludf.DUMMYFUNCTION("""COMPUTED_VALUE"""),"Any kind of inflammatory process of the tonsils, pharynx, or/and larynx characterized by pain in swallowing.")</f>
        <v>Any kind of inflammatory process of the tonsils, pharynx, or/and larynx characterized by pain in swallowing.</v>
      </c>
      <c r="E441" s="29"/>
      <c r="F441" s="29"/>
      <c r="G441" s="29"/>
      <c r="H441" s="56" t="s">
        <v>19</v>
      </c>
      <c r="I441" s="56" t="s">
        <v>19</v>
      </c>
      <c r="J441" s="56" t="s">
        <v>19</v>
      </c>
      <c r="K441" s="55" t="str">
        <f t="shared" si="33"/>
        <v>Mpox</v>
      </c>
      <c r="M441" s="40"/>
    </row>
    <row r="442">
      <c r="A442" s="29"/>
      <c r="B442" s="53" t="str">
        <f>IFERROR(__xludf.DUMMYFUNCTION("""COMPUTED_VALUE"""),"Sweating                    ")</f>
        <v>Sweating                    </v>
      </c>
      <c r="C442" s="29" t="str">
        <f>IFERROR(__xludf.DUMMYFUNCTION("""COMPUTED_VALUE"""),"NCIT:C36172")</f>
        <v>NCIT:C36172</v>
      </c>
      <c r="D442" s="29" t="str">
        <f>IFERROR(__xludf.DUMMYFUNCTION("""COMPUTED_VALUE"""),"A watery secretion by the sweat glands that is primarily composed of salt, urea and minerals.")</f>
        <v>A watery secretion by the sweat glands that is primarily composed of salt, urea and minerals.</v>
      </c>
      <c r="E442" s="29"/>
      <c r="F442" s="29"/>
      <c r="G442" s="29"/>
      <c r="H442" s="56" t="s">
        <v>19</v>
      </c>
      <c r="I442" s="56" t="s">
        <v>19</v>
      </c>
      <c r="J442" s="56" t="s">
        <v>19</v>
      </c>
      <c r="K442" s="55" t="str">
        <f t="shared" si="33"/>
        <v>Mpox</v>
      </c>
      <c r="M442" s="40"/>
    </row>
    <row r="443">
      <c r="A443" s="29"/>
      <c r="B443" s="53" t="str">
        <f>IFERROR(__xludf.DUMMYFUNCTION("""COMPUTED_VALUE"""),"Swollen Lymph Nodes                    ")</f>
        <v>Swollen Lymph Nodes                    </v>
      </c>
      <c r="C443" s="29" t="str">
        <f>IFERROR(__xludf.DUMMYFUNCTION("""COMPUTED_VALUE"""),"HP:0002716")</f>
        <v>HP:0002716</v>
      </c>
      <c r="D443" s="29" t="str">
        <f>IFERROR(__xludf.DUMMYFUNCTION("""COMPUTED_VALUE"""),"Enlargment (swelling) of a lymph node.")</f>
        <v>Enlargment (swelling) of a lymph node.</v>
      </c>
      <c r="E443" s="29"/>
      <c r="F443" s="29"/>
      <c r="G443" s="29"/>
      <c r="H443" s="56" t="s">
        <v>19</v>
      </c>
      <c r="I443" s="56" t="s">
        <v>19</v>
      </c>
      <c r="J443" s="56" t="s">
        <v>19</v>
      </c>
      <c r="K443" s="55" t="str">
        <f t="shared" si="33"/>
        <v>Mpox</v>
      </c>
      <c r="M443" s="40"/>
    </row>
    <row r="444">
      <c r="A444" s="29"/>
      <c r="B444" s="53" t="str">
        <f>IFERROR(__xludf.DUMMYFUNCTION("""COMPUTED_VALUE"""),"Ulcer                    ")</f>
        <v>Ulcer                    </v>
      </c>
      <c r="C444" s="29" t="str">
        <f>IFERROR(__xludf.DUMMYFUNCTION("""COMPUTED_VALUE"""),"NCIT:C3426")</f>
        <v>NCIT:C3426</v>
      </c>
      <c r="D444"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E444" s="29"/>
      <c r="F444" s="29"/>
      <c r="G444" s="29"/>
      <c r="H444" s="56" t="s">
        <v>19</v>
      </c>
      <c r="I444" s="56" t="s">
        <v>19</v>
      </c>
      <c r="J444" s="56" t="s">
        <v>19</v>
      </c>
      <c r="K444" s="55" t="str">
        <f t="shared" si="33"/>
        <v>Mpox</v>
      </c>
      <c r="M444" s="40"/>
    </row>
    <row r="445">
      <c r="A445" s="29"/>
      <c r="B445" s="53" t="str">
        <f>IFERROR(__xludf.DUMMYFUNCTION("""COMPUTED_VALUE"""),"Vomiting (throwing up)                    ")</f>
        <v>Vomiting (throwing up)                    </v>
      </c>
      <c r="C445" s="29" t="str">
        <f>IFERROR(__xludf.DUMMYFUNCTION("""COMPUTED_VALUE"""),"HP:0002013")</f>
        <v>HP:0002013</v>
      </c>
      <c r="D445"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E445" s="29"/>
      <c r="F445" s="29"/>
      <c r="G445" s="29"/>
      <c r="H445" s="56" t="s">
        <v>19</v>
      </c>
      <c r="I445" s="56" t="s">
        <v>19</v>
      </c>
      <c r="J445" s="56" t="s">
        <v>19</v>
      </c>
      <c r="K445" s="55" t="str">
        <f t="shared" si="33"/>
        <v>Mpox</v>
      </c>
      <c r="M445" s="40"/>
    </row>
    <row r="446">
      <c r="A446" s="29"/>
      <c r="B446" s="53" t="str">
        <f>IFERROR(__xludf.DUMMYFUNCTION("""COMPUTED_VALUE"""),"                    ")</f>
        <v>                    </v>
      </c>
      <c r="C446" s="29"/>
      <c r="D446" s="29" t="str">
        <f>IFERROR(__xludf.DUMMYFUNCTION("""COMPUTED_VALUE"""),"")</f>
        <v/>
      </c>
      <c r="E446" s="29"/>
      <c r="F446" s="29"/>
      <c r="G446" s="29"/>
      <c r="H446" s="56" t="s">
        <v>19</v>
      </c>
      <c r="I446" s="56" t="s">
        <v>19</v>
      </c>
      <c r="J446" s="56" t="s">
        <v>19</v>
      </c>
      <c r="K446" s="55" t="str">
        <f t="shared" si="33"/>
        <v>Mpox</v>
      </c>
      <c r="M446" s="58"/>
    </row>
    <row r="447" hidden="1">
      <c r="A447" s="29" t="str">
        <f>IFERROR(__xludf.DUMMYFUNCTION("""COMPUTED_VALUE"""),"signs and symptoms international menu")</f>
        <v>signs and symptoms international menu</v>
      </c>
      <c r="B447" s="53" t="str">
        <f>IFERROR(__xludf.DUMMYFUNCTION("""COMPUTED_VALUE"""),"                    ")</f>
        <v>                    </v>
      </c>
      <c r="C447" s="29"/>
      <c r="D447" s="29" t="str">
        <f>IFERROR(__xludf.DUMMYFUNCTION("""COMPUTED_VALUE"""),"")</f>
        <v/>
      </c>
      <c r="E447" s="29"/>
      <c r="F447" s="29"/>
      <c r="G447" s="29"/>
      <c r="H447" s="56"/>
      <c r="I447" s="56"/>
      <c r="J447" s="56"/>
      <c r="K447" s="59" t="s">
        <v>27</v>
      </c>
      <c r="L447" s="34" t="str">
        <f>LEFT(A447, LEN(A447) - 5)
</f>
        <v>signs and symptoms international</v>
      </c>
      <c r="M447" s="34" t="str">
        <f>VLOOKUP(L447,'Field Reference Guide'!$B$6:$N$220,13,false)</f>
        <v>#N/A</v>
      </c>
    </row>
    <row r="448" hidden="1">
      <c r="A448" s="29"/>
      <c r="B448" s="53" t="str">
        <f>IFERROR(__xludf.DUMMYFUNCTION("""COMPUTED_VALUE"""),"Chills (sudden cold sensation) [HP:0025143]                    ")</f>
        <v>Chills (sudden cold sensation) [HP:0025143]                    </v>
      </c>
      <c r="C448" s="29" t="str">
        <f>IFERROR(__xludf.DUMMYFUNCTION("""COMPUTED_VALUE"""),"HP:0025143")</f>
        <v>HP:0025143</v>
      </c>
      <c r="D448" s="29" t="str">
        <f>IFERROR(__xludf.DUMMYFUNCTION("""COMPUTED_VALUE"""),"A sudden sensation of feeling cold.")</f>
        <v>A sudden sensation of feeling cold.</v>
      </c>
      <c r="E448" s="29"/>
      <c r="F448" s="29"/>
      <c r="G448" s="29"/>
      <c r="H448" s="56" t="s">
        <v>19</v>
      </c>
      <c r="I448" s="56" t="s">
        <v>19</v>
      </c>
      <c r="J448" s="56" t="s">
        <v>19</v>
      </c>
      <c r="K448" s="55" t="str">
        <f t="shared" ref="K448:K469" si="34">K447</f>
        <v>International</v>
      </c>
      <c r="M448" s="57" t="s">
        <v>28</v>
      </c>
    </row>
    <row r="449" hidden="1">
      <c r="A449" s="29"/>
      <c r="B449" s="53" t="str">
        <f>IFERROR(__xludf.DUMMYFUNCTION("""COMPUTED_VALUE"""),"Conjunctivitis (pink eye) [HP:0000509]                    ")</f>
        <v>Conjunctivitis (pink eye) [HP:0000509]                    </v>
      </c>
      <c r="C449" s="29" t="str">
        <f>IFERROR(__xludf.DUMMYFUNCTION("""COMPUTED_VALUE"""),"HP:0000509")</f>
        <v>HP:0000509</v>
      </c>
      <c r="D449" s="29" t="str">
        <f>IFERROR(__xludf.DUMMYFUNCTION("""COMPUTED_VALUE"""),"Inflammation of the conjunctiva.")</f>
        <v>Inflammation of the conjunctiva.</v>
      </c>
      <c r="E449" s="29"/>
      <c r="F449" s="29"/>
      <c r="G449" s="29"/>
      <c r="H449" s="56" t="s">
        <v>19</v>
      </c>
      <c r="I449" s="56" t="s">
        <v>19</v>
      </c>
      <c r="J449" s="56" t="s">
        <v>19</v>
      </c>
      <c r="K449" s="55" t="str">
        <f t="shared" si="34"/>
        <v>International</v>
      </c>
      <c r="M449" s="40"/>
    </row>
    <row r="450" hidden="1">
      <c r="A450" s="29"/>
      <c r="B450" s="53" t="str">
        <f>IFERROR(__xludf.DUMMYFUNCTION("""COMPUTED_VALUE"""),"Cough [HP:0012735]                    ")</f>
        <v>Cough [HP:0012735]                    </v>
      </c>
      <c r="C450" s="29" t="str">
        <f>IFERROR(__xludf.DUMMYFUNCTION("""COMPUTED_VALUE"""),"HP:0012735")</f>
        <v>HP:0012735</v>
      </c>
      <c r="D450" s="29" t="str">
        <f>IFERROR(__xludf.DUMMYFUNCTION("""COMPUTED_VALUE"""),"A sudden, audible expulsion of air from the lungs through a partially closed glottis, preceded by inhalation.")</f>
        <v>A sudden, audible expulsion of air from the lungs through a partially closed glottis, preceded by inhalation.</v>
      </c>
      <c r="E450" s="29"/>
      <c r="F450" s="29"/>
      <c r="G450" s="29"/>
      <c r="H450" s="56" t="s">
        <v>19</v>
      </c>
      <c r="I450" s="56" t="s">
        <v>19</v>
      </c>
      <c r="J450" s="56" t="s">
        <v>19</v>
      </c>
      <c r="K450" s="55" t="str">
        <f t="shared" si="34"/>
        <v>International</v>
      </c>
      <c r="M450" s="40"/>
    </row>
    <row r="451" hidden="1">
      <c r="A451" s="29"/>
      <c r="B451" s="53" t="str">
        <f>IFERROR(__xludf.DUMMYFUNCTION("""COMPUTED_VALUE"""),"Fatigue (tiredness) [HP:0012378]                    ")</f>
        <v>Fatigue (tiredness) [HP:0012378]                    </v>
      </c>
      <c r="C451" s="29" t="str">
        <f>IFERROR(__xludf.DUMMYFUNCTION("""COMPUTED_VALUE"""),"HP:0012378")</f>
        <v>HP:0012378</v>
      </c>
      <c r="D451" s="29" t="str">
        <f>IFERROR(__xludf.DUMMYFUNCTION("""COMPUTED_VALUE"""),"A subjective feeling of tiredness characterized by a lack of energy and motivation.")</f>
        <v>A subjective feeling of tiredness characterized by a lack of energy and motivation.</v>
      </c>
      <c r="E451" s="29"/>
      <c r="F451" s="29"/>
      <c r="G451" s="29"/>
      <c r="H451" s="56" t="s">
        <v>19</v>
      </c>
      <c r="I451" s="56" t="s">
        <v>19</v>
      </c>
      <c r="J451" s="56" t="s">
        <v>19</v>
      </c>
      <c r="K451" s="55" t="str">
        <f t="shared" si="34"/>
        <v>International</v>
      </c>
      <c r="M451" s="40"/>
    </row>
    <row r="452" hidden="1">
      <c r="A452" s="29"/>
      <c r="B452" s="53" t="str">
        <f>IFERROR(__xludf.DUMMYFUNCTION("""COMPUTED_VALUE"""),"Fever [HP:0001945]                    ")</f>
        <v>Fever [HP:0001945]                    </v>
      </c>
      <c r="C452" s="29" t="str">
        <f>IFERROR(__xludf.DUMMYFUNCTION("""COMPUTED_VALUE"""),"HP:0001945")</f>
        <v>HP:0001945</v>
      </c>
      <c r="D452" s="29" t="str">
        <f>IFERROR(__xludf.DUMMYFUNCTION("""COMPUTED_VALUE"""),"Body temperature elevated above the normal range.")</f>
        <v>Body temperature elevated above the normal range.</v>
      </c>
      <c r="E452" s="29"/>
      <c r="F452" s="29"/>
      <c r="G452" s="29"/>
      <c r="H452" s="56" t="s">
        <v>19</v>
      </c>
      <c r="I452" s="56" t="s">
        <v>19</v>
      </c>
      <c r="J452" s="56" t="s">
        <v>19</v>
      </c>
      <c r="K452" s="55" t="str">
        <f t="shared" si="34"/>
        <v>International</v>
      </c>
      <c r="M452" s="40"/>
    </row>
    <row r="453" hidden="1">
      <c r="A453" s="29"/>
      <c r="B453" s="53" t="str">
        <f>IFERROR(__xludf.DUMMYFUNCTION("""COMPUTED_VALUE"""),"Headache [HP:0002315]                    ")</f>
        <v>Headache [HP:0002315]                    </v>
      </c>
      <c r="C453" s="29" t="str">
        <f>IFERROR(__xludf.DUMMYFUNCTION("""COMPUTED_VALUE"""),"HP:0002315")</f>
        <v>HP:0002315</v>
      </c>
      <c r="D453" s="29" t="str">
        <f>IFERROR(__xludf.DUMMYFUNCTION("""COMPUTED_VALUE"""),"Cephalgia, or pain sensed in various parts of the head, not confined to the area of distribution of any nerve.")</f>
        <v>Cephalgia, or pain sensed in various parts of the head, not confined to the area of distribution of any nerve.</v>
      </c>
      <c r="E453" s="29"/>
      <c r="F453" s="29"/>
      <c r="G453" s="29"/>
      <c r="H453" s="56" t="s">
        <v>19</v>
      </c>
      <c r="I453" s="56" t="s">
        <v>19</v>
      </c>
      <c r="J453" s="56" t="s">
        <v>19</v>
      </c>
      <c r="K453" s="55" t="str">
        <f t="shared" si="34"/>
        <v>International</v>
      </c>
      <c r="M453" s="40"/>
    </row>
    <row r="454" hidden="1">
      <c r="A454" s="29"/>
      <c r="B454" s="53" t="str">
        <f>IFERROR(__xludf.DUMMYFUNCTION("""COMPUTED_VALUE"""),"Lesion [NCIT:C3824]                    ")</f>
        <v>Lesion [NCIT:C3824]                    </v>
      </c>
      <c r="C454" s="29" t="str">
        <f>IFERROR(__xludf.DUMMYFUNCTION("""COMPUTED_VALUE"""),"NCIT:C3824")</f>
        <v>NCIT:C3824</v>
      </c>
      <c r="D454" s="29" t="str">
        <f>IFERROR(__xludf.DUMMYFUNCTION("""COMPUTED_VALUE"""),"A localized pathological or traumatic structural change, damage, deformity, or discontinuity of tissue, organ, or body part.")</f>
        <v>A localized pathological or traumatic structural change, damage, deformity, or discontinuity of tissue, organ, or body part.</v>
      </c>
      <c r="E454" s="29"/>
      <c r="F454" s="29"/>
      <c r="G454" s="29"/>
      <c r="H454" s="56" t="s">
        <v>19</v>
      </c>
      <c r="I454" s="56" t="s">
        <v>19</v>
      </c>
      <c r="J454" s="56" t="s">
        <v>19</v>
      </c>
      <c r="K454" s="55" t="str">
        <f t="shared" si="34"/>
        <v>International</v>
      </c>
      <c r="M454" s="40"/>
    </row>
    <row r="455" hidden="1">
      <c r="A455" s="29"/>
      <c r="B455" s="53" t="str">
        <f>IFERROR(__xludf.DUMMYFUNCTION("""COMPUTED_VALUE"""),"     Lesion (Macule) [NCIT:C43278]               ")</f>
        <v>     Lesion (Macule) [NCIT:C43278]               </v>
      </c>
      <c r="C455" s="29" t="str">
        <f>IFERROR(__xludf.DUMMYFUNCTION("""COMPUTED_VALUE"""),"NCIT:C43278")</f>
        <v>NCIT:C43278</v>
      </c>
      <c r="D455" s="29" t="str">
        <f>IFERROR(__xludf.DUMMYFUNCTION("""COMPUTED_VALUE"""),"A flat lesion characterized by change in the skin color.")</f>
        <v>A flat lesion characterized by change in the skin color.</v>
      </c>
      <c r="E455" s="29"/>
      <c r="F455" s="29"/>
      <c r="G455" s="29"/>
      <c r="H455" s="56" t="s">
        <v>19</v>
      </c>
      <c r="I455" s="56" t="s">
        <v>19</v>
      </c>
      <c r="J455" s="56" t="s">
        <v>19</v>
      </c>
      <c r="K455" s="55" t="str">
        <f t="shared" si="34"/>
        <v>International</v>
      </c>
      <c r="M455" s="40"/>
    </row>
    <row r="456" hidden="1">
      <c r="A456" s="29"/>
      <c r="B456" s="53" t="str">
        <f>IFERROR(__xludf.DUMMYFUNCTION("""COMPUTED_VALUE"""),"     Lesion (Papule) [NCIT:C39690]               ")</f>
        <v>     Lesion (Papule) [NCIT:C39690]               </v>
      </c>
      <c r="C456" s="33" t="str">
        <f>IFERROR(__xludf.DUMMYFUNCTION("""COMPUTED_VALUE"""),"NCIT:C39690")</f>
        <v>NCIT:C39690</v>
      </c>
      <c r="D456" s="29" t="str">
        <f>IFERROR(__xludf.DUMMYFUNCTION("""COMPUTED_VALUE"""),"A small (less than 5-10 mm) elevation of skin that is non-suppurative.")</f>
        <v>A small (less than 5-10 mm) elevation of skin that is non-suppurative.</v>
      </c>
      <c r="E456" s="29"/>
      <c r="F456" s="29"/>
      <c r="G456" s="29"/>
      <c r="H456" s="56" t="s">
        <v>19</v>
      </c>
      <c r="I456" s="56" t="s">
        <v>19</v>
      </c>
      <c r="J456" s="56" t="s">
        <v>19</v>
      </c>
      <c r="K456" s="55" t="str">
        <f t="shared" si="34"/>
        <v>International</v>
      </c>
      <c r="M456" s="40"/>
    </row>
    <row r="457" hidden="1">
      <c r="A457" s="29"/>
      <c r="B457" s="53" t="str">
        <f>IFERROR(__xludf.DUMMYFUNCTION("""COMPUTED_VALUE"""),"     Lesion (Pustule) [NCIT:C78582]               ")</f>
        <v>     Lesion (Pustule) [NCIT:C78582]               </v>
      </c>
      <c r="C457" s="33" t="str">
        <f>IFERROR(__xludf.DUMMYFUNCTION("""COMPUTED_VALUE"""),"NCIT:C78582")</f>
        <v>NCIT:C78582</v>
      </c>
      <c r="D457" s="29" t="str">
        <f>IFERROR(__xludf.DUMMYFUNCTION("""COMPUTED_VALUE"""),"A circumscribed and elevated skin lesion filled with purulent material.")</f>
        <v>A circumscribed and elevated skin lesion filled with purulent material.</v>
      </c>
      <c r="E457" s="29"/>
      <c r="F457" s="29"/>
      <c r="G457" s="29"/>
      <c r="H457" s="56" t="s">
        <v>19</v>
      </c>
      <c r="I457" s="56" t="s">
        <v>19</v>
      </c>
      <c r="J457" s="56" t="s">
        <v>19</v>
      </c>
      <c r="K457" s="55" t="str">
        <f t="shared" si="34"/>
        <v>International</v>
      </c>
      <c r="M457" s="40"/>
    </row>
    <row r="458" hidden="1">
      <c r="A458" s="29"/>
      <c r="B458" s="53" t="str">
        <f>IFERROR(__xludf.DUMMYFUNCTION("""COMPUTED_VALUE"""),"     Lesion (Scab) [GENEPIO:0100490]               ")</f>
        <v>     Lesion (Scab) [GENEPIO:0100490]               </v>
      </c>
      <c r="C458" s="29" t="str">
        <f>IFERROR(__xludf.DUMMYFUNCTION("""COMPUTED_VALUE"""),"GENEPIO:0100490")</f>
        <v>GENEPIO:0100490</v>
      </c>
      <c r="D458" s="29" t="str">
        <f>IFERROR(__xludf.DUMMYFUNCTION("""COMPUTED_VALUE"""),"Dried purulent material on the skin from a skin lesion.")</f>
        <v>Dried purulent material on the skin from a skin lesion.</v>
      </c>
      <c r="E458" s="29"/>
      <c r="F458" s="29"/>
      <c r="G458" s="29"/>
      <c r="H458" s="56" t="s">
        <v>19</v>
      </c>
      <c r="I458" s="56" t="s">
        <v>19</v>
      </c>
      <c r="J458" s="56" t="s">
        <v>19</v>
      </c>
      <c r="K458" s="55" t="str">
        <f t="shared" si="34"/>
        <v>International</v>
      </c>
      <c r="M458" s="40"/>
    </row>
    <row r="459" hidden="1">
      <c r="A459" s="29"/>
      <c r="B459" s="53" t="str">
        <f>IFERROR(__xludf.DUMMYFUNCTION("""COMPUTED_VALUE"""),"     Lesion (Vesicle) [GENEPIO:0100491]               ")</f>
        <v>     Lesion (Vesicle) [GENEPIO:0100491]               </v>
      </c>
      <c r="C459" s="29" t="str">
        <f>IFERROR(__xludf.DUMMYFUNCTION("""COMPUTED_VALUE"""),"GENEPIO:0100491")</f>
        <v>GENEPIO:0100491</v>
      </c>
      <c r="D459" s="29" t="str">
        <f>IFERROR(__xludf.DUMMYFUNCTION("""COMPUTED_VALUE"""),"Small, inflamed, pus-filled, blister-like sores (lesions) on the skin surface.")</f>
        <v>Small, inflamed, pus-filled, blister-like sores (lesions) on the skin surface.</v>
      </c>
      <c r="E459" s="29"/>
      <c r="F459" s="29"/>
      <c r="G459" s="29"/>
      <c r="H459" s="29"/>
      <c r="I459" s="29"/>
      <c r="J459" s="29"/>
      <c r="K459" s="55" t="str">
        <f t="shared" si="34"/>
        <v>International</v>
      </c>
      <c r="M459" s="40"/>
    </row>
    <row r="460" hidden="1">
      <c r="A460" s="34"/>
      <c r="B460" s="53" t="str">
        <f>IFERROR(__xludf.DUMMYFUNCTION("""COMPUTED_VALUE"""),"Myalgia (muscle pain) [HP:0003326]                    ")</f>
        <v>Myalgia (muscle pain) [HP:0003326]                    </v>
      </c>
      <c r="C460" s="34" t="str">
        <f>IFERROR(__xludf.DUMMYFUNCTION("""COMPUTED_VALUE"""),"HP:0003326")</f>
        <v>HP:0003326</v>
      </c>
      <c r="D460" s="29" t="str">
        <f>IFERROR(__xludf.DUMMYFUNCTION("""COMPUTED_VALUE"""),"Pain in muscle.")</f>
        <v>Pain in muscle.</v>
      </c>
      <c r="K460" s="55" t="str">
        <f t="shared" si="34"/>
        <v>International</v>
      </c>
      <c r="M460" s="40"/>
    </row>
    <row r="461" hidden="1">
      <c r="A461" s="34"/>
      <c r="B461" s="53" t="str">
        <f>IFERROR(__xludf.DUMMYFUNCTION("""COMPUTED_VALUE"""),"     Back pain [HP:0003418]               ")</f>
        <v>     Back pain [HP:0003418]               </v>
      </c>
      <c r="C461" s="34" t="str">
        <f>IFERROR(__xludf.DUMMYFUNCTION("""COMPUTED_VALUE"""),"HP:0003418")</f>
        <v>HP:0003418</v>
      </c>
      <c r="D461" s="29" t="str">
        <f>IFERROR(__xludf.DUMMYFUNCTION("""COMPUTED_VALUE"""),"An unpleasant sensation characterized by physical discomfort (such as pricking, throbbing, or aching) localized to the back.")</f>
        <v>An unpleasant sensation characterized by physical discomfort (such as pricking, throbbing, or aching) localized to the back.</v>
      </c>
      <c r="H461" s="55" t="s">
        <v>19</v>
      </c>
      <c r="I461" s="55" t="s">
        <v>19</v>
      </c>
      <c r="J461" s="55" t="s">
        <v>19</v>
      </c>
      <c r="K461" s="55" t="str">
        <f t="shared" si="34"/>
        <v>International</v>
      </c>
      <c r="M461" s="40"/>
    </row>
    <row r="462" hidden="1">
      <c r="A462" s="34"/>
      <c r="B462" s="53" t="str">
        <f>IFERROR(__xludf.DUMMYFUNCTION("""COMPUTED_VALUE"""),"Nausea [HP:0002018]                    ")</f>
        <v>Nausea [HP:0002018]                    </v>
      </c>
      <c r="C462" s="34" t="str">
        <f>IFERROR(__xludf.DUMMYFUNCTION("""COMPUTED_VALUE"""),"HP:0002018")</f>
        <v>HP:0002018</v>
      </c>
      <c r="D462" s="29" t="str">
        <f>IFERROR(__xludf.DUMMYFUNCTION("""COMPUTED_VALUE"""),"A sensation of unease in the stomach together with an urge to vomit.")</f>
        <v>A sensation of unease in the stomach together with an urge to vomit.</v>
      </c>
      <c r="H462" s="55" t="s">
        <v>19</v>
      </c>
      <c r="I462" s="55" t="s">
        <v>19</v>
      </c>
      <c r="J462" s="55" t="s">
        <v>19</v>
      </c>
      <c r="K462" s="55" t="str">
        <f t="shared" si="34"/>
        <v>International</v>
      </c>
      <c r="M462" s="40"/>
    </row>
    <row r="463" hidden="1">
      <c r="A463" s="34"/>
      <c r="B463" s="53" t="str">
        <f>IFERROR(__xludf.DUMMYFUNCTION("""COMPUTED_VALUE"""),"Rash [HP:0000988]                    ")</f>
        <v>Rash [HP:0000988]                    </v>
      </c>
      <c r="C463" s="34" t="str">
        <f>IFERROR(__xludf.DUMMYFUNCTION("""COMPUTED_VALUE"""),"HP:0000988")</f>
        <v>HP:0000988</v>
      </c>
      <c r="D463" s="29" t="str">
        <f>IFERROR(__xludf.DUMMYFUNCTION("""COMPUTED_VALUE"""),"A red eruption of the skin.")</f>
        <v>A red eruption of the skin.</v>
      </c>
      <c r="H463" s="55" t="s">
        <v>19</v>
      </c>
      <c r="I463" s="55" t="s">
        <v>19</v>
      </c>
      <c r="J463" s="55" t="s">
        <v>19</v>
      </c>
      <c r="K463" s="55" t="str">
        <f t="shared" si="34"/>
        <v>International</v>
      </c>
      <c r="M463" s="40"/>
    </row>
    <row r="464" hidden="1">
      <c r="A464" s="34"/>
      <c r="B464" s="53" t="str">
        <f>IFERROR(__xludf.DUMMYFUNCTION("""COMPUTED_VALUE"""),"Sore throat [NCIT:C50747]                    ")</f>
        <v>Sore throat [NCIT:C50747]                    </v>
      </c>
      <c r="C464" s="34" t="str">
        <f>IFERROR(__xludf.DUMMYFUNCTION("""COMPUTED_VALUE"""),"NCIT:C50747")</f>
        <v>NCIT:C50747</v>
      </c>
      <c r="D464" s="29" t="str">
        <f>IFERROR(__xludf.DUMMYFUNCTION("""COMPUTED_VALUE"""),"Any kind of inflammatory process of the tonsils, pharynx, or/and larynx characterized by pain in swallowing.")</f>
        <v>Any kind of inflammatory process of the tonsils, pharynx, or/and larynx characterized by pain in swallowing.</v>
      </c>
      <c r="H464" s="55" t="s">
        <v>19</v>
      </c>
      <c r="I464" s="55" t="s">
        <v>19</v>
      </c>
      <c r="J464" s="55" t="s">
        <v>19</v>
      </c>
      <c r="K464" s="55" t="str">
        <f t="shared" si="34"/>
        <v>International</v>
      </c>
      <c r="M464" s="40"/>
    </row>
    <row r="465" hidden="1">
      <c r="A465" s="34"/>
      <c r="B465" s="53" t="str">
        <f>IFERROR(__xludf.DUMMYFUNCTION("""COMPUTED_VALUE"""),"Sweating [NCIT:C36172]                    ")</f>
        <v>Sweating [NCIT:C36172]                    </v>
      </c>
      <c r="C465" s="34" t="str">
        <f>IFERROR(__xludf.DUMMYFUNCTION("""COMPUTED_VALUE"""),"NCIT:C36172")</f>
        <v>NCIT:C36172</v>
      </c>
      <c r="D465" s="29" t="str">
        <f>IFERROR(__xludf.DUMMYFUNCTION("""COMPUTED_VALUE"""),"A watery secretion by the sweat glands that is primarily composed of salt, urea and minerals.")</f>
        <v>A watery secretion by the sweat glands that is primarily composed of salt, urea and minerals.</v>
      </c>
      <c r="H465" s="55" t="s">
        <v>19</v>
      </c>
      <c r="I465" s="55" t="s">
        <v>19</v>
      </c>
      <c r="J465" s="55" t="s">
        <v>19</v>
      </c>
      <c r="K465" s="55" t="str">
        <f t="shared" si="34"/>
        <v>International</v>
      </c>
      <c r="M465" s="40"/>
    </row>
    <row r="466" hidden="1">
      <c r="A466" s="34"/>
      <c r="B466" s="53" t="str">
        <f>IFERROR(__xludf.DUMMYFUNCTION("""COMPUTED_VALUE"""),"Swollen Lymph Nodes [HP:0002716]                    ")</f>
        <v>Swollen Lymph Nodes [HP:0002716]                    </v>
      </c>
      <c r="C466" s="34" t="str">
        <f>IFERROR(__xludf.DUMMYFUNCTION("""COMPUTED_VALUE"""),"HP:0002716")</f>
        <v>HP:0002716</v>
      </c>
      <c r="D466" s="29" t="str">
        <f>IFERROR(__xludf.DUMMYFUNCTION("""COMPUTED_VALUE"""),"Enlargment (swelling) of a lymph node.")</f>
        <v>Enlargment (swelling) of a lymph node.</v>
      </c>
      <c r="H466" s="55" t="s">
        <v>19</v>
      </c>
      <c r="I466" s="55" t="s">
        <v>19</v>
      </c>
      <c r="J466" s="55" t="s">
        <v>19</v>
      </c>
      <c r="K466" s="55" t="str">
        <f t="shared" si="34"/>
        <v>International</v>
      </c>
      <c r="M466" s="40"/>
    </row>
    <row r="467" hidden="1">
      <c r="A467" s="34"/>
      <c r="B467" s="53" t="str">
        <f>IFERROR(__xludf.DUMMYFUNCTION("""COMPUTED_VALUE"""),"Ulcer [NCIT:C3426]                    ")</f>
        <v>Ulcer [NCIT:C3426]                    </v>
      </c>
      <c r="C467" s="34" t="str">
        <f>IFERROR(__xludf.DUMMYFUNCTION("""COMPUTED_VALUE"""),"NCIT:C3426")</f>
        <v>NCIT:C3426</v>
      </c>
      <c r="D467" s="29" t="str">
        <f>IFERROR(__xludf.DUMMYFUNCTION("""COMPUTED_VALUE"""),"A circumscribed inflammatory and often suppurating lesion on the skin or an internal mucous surface resulting in necrosis of tissue.")</f>
        <v>A circumscribed inflammatory and often suppurating lesion on the skin or an internal mucous surface resulting in necrosis of tissue.</v>
      </c>
      <c r="H467" s="55" t="s">
        <v>19</v>
      </c>
      <c r="I467" s="55" t="s">
        <v>19</v>
      </c>
      <c r="J467" s="55" t="s">
        <v>19</v>
      </c>
      <c r="K467" s="55" t="str">
        <f t="shared" si="34"/>
        <v>International</v>
      </c>
      <c r="M467" s="40"/>
    </row>
    <row r="468" hidden="1">
      <c r="A468" s="34"/>
      <c r="B468" s="53" t="str">
        <f>IFERROR(__xludf.DUMMYFUNCTION("""COMPUTED_VALUE"""),"Vomiting (throwing up) [HP:0002013]                    ")</f>
        <v>Vomiting (throwing up) [HP:0002013]                    </v>
      </c>
      <c r="C468" s="34" t="str">
        <f>IFERROR(__xludf.DUMMYFUNCTION("""COMPUTED_VALUE"""),"HP:0002013")</f>
        <v>HP:0002013</v>
      </c>
      <c r="D468" s="29" t="str">
        <f>IFERROR(__xludf.DUMMYFUNCTION("""COMPUTED_VALUE"""),"Forceful ejection of the contents of the stomach through the mouth by means of a series of involuntary spasmic contractions.")</f>
        <v>Forceful ejection of the contents of the stomach through the mouth by means of a series of involuntary spasmic contractions.</v>
      </c>
      <c r="H468" s="55" t="s">
        <v>19</v>
      </c>
      <c r="I468" s="55" t="s">
        <v>19</v>
      </c>
      <c r="J468" s="55" t="s">
        <v>19</v>
      </c>
      <c r="K468" s="55" t="str">
        <f t="shared" si="34"/>
        <v>International</v>
      </c>
      <c r="M468" s="40"/>
    </row>
    <row r="469" hidden="1">
      <c r="A469" s="34"/>
      <c r="B469" s="53" t="str">
        <f>IFERROR(__xludf.DUMMYFUNCTION("""COMPUTED_VALUE"""),"                    ")</f>
        <v>                    </v>
      </c>
      <c r="C469" s="34"/>
      <c r="D469" s="29" t="str">
        <f>IFERROR(__xludf.DUMMYFUNCTION("""COMPUTED_VALUE"""),"")</f>
        <v/>
      </c>
      <c r="H469" s="55" t="s">
        <v>19</v>
      </c>
      <c r="I469" s="55" t="s">
        <v>19</v>
      </c>
      <c r="J469" s="55" t="s">
        <v>19</v>
      </c>
      <c r="K469" s="55" t="str">
        <f t="shared" si="34"/>
        <v>International</v>
      </c>
      <c r="M469" s="58"/>
    </row>
    <row r="470">
      <c r="A470" s="34" t="str">
        <f>IFERROR(__xludf.DUMMYFUNCTION("""COMPUTED_VALUE"""),"pre-existing conditions and risk factors menu")</f>
        <v>pre-existing conditions and risk factors menu</v>
      </c>
      <c r="B470" s="53" t="str">
        <f>IFERROR(__xludf.DUMMYFUNCTION("""COMPUTED_VALUE"""),"                    ")</f>
        <v>                    </v>
      </c>
      <c r="C470" s="34"/>
      <c r="D470" s="29" t="str">
        <f>IFERROR(__xludf.DUMMYFUNCTION("""COMPUTED_VALUE"""),"")</f>
        <v/>
      </c>
      <c r="E470" s="34"/>
      <c r="F470" s="34"/>
      <c r="G470" s="34"/>
      <c r="H470" s="55"/>
      <c r="I470" s="55"/>
      <c r="J470" s="55"/>
      <c r="K470" s="55" t="s">
        <v>26</v>
      </c>
      <c r="L470" s="34" t="str">
        <f>LEFT(A470, LEN(A470) - 5)
</f>
        <v>pre-existing conditions and risk factors</v>
      </c>
      <c r="M470" s="34" t="str">
        <f>VLOOKUP(L470,'Field Reference Guide'!$B$6:$N$220,13,false)</f>
        <v>Mpox</v>
      </c>
    </row>
    <row r="471">
      <c r="A471" s="34"/>
      <c r="B471" s="53" t="str">
        <f>IFERROR(__xludf.DUMMYFUNCTION("""COMPUTED_VALUE"""),"Cancer                    ")</f>
        <v>Cancer                    </v>
      </c>
      <c r="C471" s="34" t="str">
        <f>IFERROR(__xludf.DUMMYFUNCTION("""COMPUTED_VALUE"""),"MONDO:0004992")</f>
        <v>MONDO:0004992</v>
      </c>
      <c r="D471"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H471" s="55" t="s">
        <v>19</v>
      </c>
      <c r="I471" s="55" t="s">
        <v>19</v>
      </c>
      <c r="J471" s="55" t="s">
        <v>19</v>
      </c>
      <c r="K471" s="55" t="str">
        <f t="shared" ref="K471:K495" si="35">K470</f>
        <v>Mpox</v>
      </c>
      <c r="M471" s="57" t="s">
        <v>26</v>
      </c>
    </row>
    <row r="472">
      <c r="A472" s="34"/>
      <c r="B472" s="53" t="str">
        <f>IFERROR(__xludf.DUMMYFUNCTION("""COMPUTED_VALUE"""),"Diabetes mellitus (diabetes)                    ")</f>
        <v>Diabetes mellitus (diabetes)                    </v>
      </c>
      <c r="C472" s="34" t="str">
        <f>IFERROR(__xludf.DUMMYFUNCTION("""COMPUTED_VALUE"""),"HP:0000819")</f>
        <v>HP:0000819</v>
      </c>
      <c r="D472" s="29" t="str">
        <f>IFERROR(__xludf.DUMMYFUNCTION("""COMPUTED_VALUE"""),"A group of abnormalities characterized by hyperglycemia and glucose intolerance.")</f>
        <v>A group of abnormalities characterized by hyperglycemia and glucose intolerance.</v>
      </c>
      <c r="H472" s="55" t="s">
        <v>19</v>
      </c>
      <c r="I472" s="55" t="s">
        <v>19</v>
      </c>
      <c r="J472" s="55" t="s">
        <v>19</v>
      </c>
      <c r="K472" s="55" t="str">
        <f t="shared" si="35"/>
        <v>Mpox</v>
      </c>
      <c r="M472" s="40"/>
    </row>
    <row r="473">
      <c r="A473" s="34"/>
      <c r="B473" s="53" t="str">
        <f>IFERROR(__xludf.DUMMYFUNCTION("""COMPUTED_VALUE"""),"     Type I diabetes mellitus (T1D)               ")</f>
        <v>     Type I diabetes mellitus (T1D)               </v>
      </c>
      <c r="C473" s="34" t="str">
        <f>IFERROR(__xludf.DUMMYFUNCTION("""COMPUTED_VALUE"""),"HP:0100651")</f>
        <v>HP:0100651</v>
      </c>
      <c r="D473"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H473" s="55" t="s">
        <v>19</v>
      </c>
      <c r="I473" s="55" t="s">
        <v>19</v>
      </c>
      <c r="J473" s="55" t="s">
        <v>19</v>
      </c>
      <c r="K473" s="55" t="str">
        <f t="shared" si="35"/>
        <v>Mpox</v>
      </c>
      <c r="M473" s="40"/>
    </row>
    <row r="474">
      <c r="A474" s="34"/>
      <c r="B474" s="53" t="str">
        <f>IFERROR(__xludf.DUMMYFUNCTION("""COMPUTED_VALUE"""),"     Type II diabetes mellitus (T2D)               ")</f>
        <v>     Type II diabetes mellitus (T2D)               </v>
      </c>
      <c r="C474" s="34" t="str">
        <f>IFERROR(__xludf.DUMMYFUNCTION("""COMPUTED_VALUE"""),"HP:0005978")</f>
        <v>HP:0005978</v>
      </c>
      <c r="D474"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H474" s="55" t="s">
        <v>19</v>
      </c>
      <c r="I474" s="55" t="s">
        <v>19</v>
      </c>
      <c r="J474" s="55" t="s">
        <v>19</v>
      </c>
      <c r="K474" s="55" t="str">
        <f t="shared" si="35"/>
        <v>Mpox</v>
      </c>
      <c r="M474" s="40"/>
    </row>
    <row r="475">
      <c r="A475" s="34"/>
      <c r="B475" s="53" t="str">
        <f>IFERROR(__xludf.DUMMYFUNCTION("""COMPUTED_VALUE"""),"Immunocompromised                    ")</f>
        <v>Immunocompromised                    </v>
      </c>
      <c r="C475" s="34" t="str">
        <f>IFERROR(__xludf.DUMMYFUNCTION("""COMPUTED_VALUE"""),"NCIT:C14139")</f>
        <v>NCIT:C14139</v>
      </c>
      <c r="D475"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H475" s="55" t="s">
        <v>19</v>
      </c>
      <c r="I475" s="55" t="s">
        <v>19</v>
      </c>
      <c r="J475" s="55" t="s">
        <v>19</v>
      </c>
      <c r="K475" s="55" t="str">
        <f t="shared" si="35"/>
        <v>Mpox</v>
      </c>
      <c r="M475" s="40"/>
    </row>
    <row r="476">
      <c r="A476" s="34"/>
      <c r="B476" s="53" t="str">
        <f>IFERROR(__xludf.DUMMYFUNCTION("""COMPUTED_VALUE"""),"Infectious disorder                    ")</f>
        <v>Infectious disorder                    </v>
      </c>
      <c r="C476" s="34" t="str">
        <f>IFERROR(__xludf.DUMMYFUNCTION("""COMPUTED_VALUE"""),"NCIT:C26726")</f>
        <v>NCIT:C26726</v>
      </c>
      <c r="D476"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H476" s="55" t="s">
        <v>19</v>
      </c>
      <c r="I476" s="55" t="s">
        <v>19</v>
      </c>
      <c r="J476" s="55" t="s">
        <v>19</v>
      </c>
      <c r="K476" s="55" t="str">
        <f t="shared" si="35"/>
        <v>Mpox</v>
      </c>
      <c r="M476" s="40"/>
    </row>
    <row r="477">
      <c r="A477" s="34"/>
      <c r="B477" s="53" t="str">
        <f>IFERROR(__xludf.DUMMYFUNCTION("""COMPUTED_VALUE"""),"     Chancroid (Haemophilus ducreyi)               ")</f>
        <v>     Chancroid (Haemophilus ducreyi)               </v>
      </c>
      <c r="C477" s="34" t="str">
        <f>IFERROR(__xludf.DUMMYFUNCTION("""COMPUTED_VALUE"""),"DOID:13778")</f>
        <v>DOID:13778</v>
      </c>
      <c r="D477"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H477" s="55" t="s">
        <v>19</v>
      </c>
      <c r="I477" s="55" t="s">
        <v>19</v>
      </c>
      <c r="J477" s="55" t="s">
        <v>19</v>
      </c>
      <c r="K477" s="55" t="str">
        <f t="shared" si="35"/>
        <v>Mpox</v>
      </c>
      <c r="M477" s="40"/>
    </row>
    <row r="478">
      <c r="A478" s="34"/>
      <c r="B478" s="53" t="str">
        <f>IFERROR(__xludf.DUMMYFUNCTION("""COMPUTED_VALUE"""),"     Chlamydia               ")</f>
        <v>     Chlamydia               </v>
      </c>
      <c r="C478" s="34" t="str">
        <f>IFERROR(__xludf.DUMMYFUNCTION("""COMPUTED_VALUE"""),"DOID:11263")</f>
        <v>DOID:11263</v>
      </c>
      <c r="D478" s="29" t="str">
        <f>IFERROR(__xludf.DUMMYFUNCTION("""COMPUTED_VALUE"""),"A commensal bacterial infectious disease that is caused by Chlamydia trachomatis.")</f>
        <v>A commensal bacterial infectious disease that is caused by Chlamydia trachomatis.</v>
      </c>
      <c r="H478" s="55" t="s">
        <v>19</v>
      </c>
      <c r="I478" s="55" t="s">
        <v>19</v>
      </c>
      <c r="J478" s="55" t="s">
        <v>19</v>
      </c>
      <c r="K478" s="55" t="str">
        <f t="shared" si="35"/>
        <v>Mpox</v>
      </c>
      <c r="M478" s="40"/>
    </row>
    <row r="479">
      <c r="A479" s="34"/>
      <c r="B479" s="53" t="str">
        <f>IFERROR(__xludf.DUMMYFUNCTION("""COMPUTED_VALUE"""),"     Gonorrhea               ")</f>
        <v>     Gonorrhea               </v>
      </c>
      <c r="C479" s="34" t="str">
        <f>IFERROR(__xludf.DUMMYFUNCTION("""COMPUTED_VALUE"""),"DOID:7551")</f>
        <v>DOID:7551</v>
      </c>
      <c r="D479"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H479" s="55" t="s">
        <v>19</v>
      </c>
      <c r="I479" s="55" t="s">
        <v>19</v>
      </c>
      <c r="J479" s="55" t="s">
        <v>19</v>
      </c>
      <c r="K479" s="55" t="str">
        <f t="shared" si="35"/>
        <v>Mpox</v>
      </c>
      <c r="M479" s="40"/>
    </row>
    <row r="480">
      <c r="A480" s="34"/>
      <c r="B480" s="53" t="str">
        <f>IFERROR(__xludf.DUMMYFUNCTION("""COMPUTED_VALUE"""),"     Herpes Simplex Virus infection (HSV)               ")</f>
        <v>     Herpes Simplex Virus infection (HSV)               </v>
      </c>
      <c r="C480" s="34" t="str">
        <f>IFERROR(__xludf.DUMMYFUNCTION("""COMPUTED_VALUE"""),"NCIT:C155871")</f>
        <v>NCIT:C155871</v>
      </c>
      <c r="D480" s="29" t="str">
        <f>IFERROR(__xludf.DUMMYFUNCTION("""COMPUTED_VALUE"""),"An infection that is caused by herpes simplex virus.")</f>
        <v>An infection that is caused by herpes simplex virus.</v>
      </c>
      <c r="H480" s="55" t="s">
        <v>19</v>
      </c>
      <c r="I480" s="55" t="s">
        <v>19</v>
      </c>
      <c r="J480" s="55" t="s">
        <v>19</v>
      </c>
      <c r="K480" s="55" t="str">
        <f t="shared" si="35"/>
        <v>Mpox</v>
      </c>
      <c r="M480" s="40"/>
    </row>
    <row r="481">
      <c r="A481" s="34"/>
      <c r="B481" s="53" t="str">
        <f>IFERROR(__xludf.DUMMYFUNCTION("""COMPUTED_VALUE"""),"     Human immunodeficiency virus (HIV)               ")</f>
        <v>     Human immunodeficiency virus (HIV)               </v>
      </c>
      <c r="C481" s="34" t="str">
        <f>IFERROR(__xludf.DUMMYFUNCTION("""COMPUTED_VALUE"""),"MONDO:0005109")</f>
        <v>MONDO:0005109</v>
      </c>
      <c r="D481" s="29" t="str">
        <f>IFERROR(__xludf.DUMMYFUNCTION("""COMPUTED_VALUE"""),"An infection caused by the human immunodeficiency virus.")</f>
        <v>An infection caused by the human immunodeficiency virus.</v>
      </c>
      <c r="H481" s="55" t="s">
        <v>19</v>
      </c>
      <c r="I481" s="55" t="s">
        <v>19</v>
      </c>
      <c r="J481" s="55" t="s">
        <v>19</v>
      </c>
      <c r="K481" s="55" t="str">
        <f t="shared" si="35"/>
        <v>Mpox</v>
      </c>
      <c r="M481" s="40"/>
    </row>
    <row r="482">
      <c r="A482" s="34"/>
      <c r="B482" s="53" t="str">
        <f>IFERROR(__xludf.DUMMYFUNCTION("""COMPUTED_VALUE"""),"          Acquired immunodeficiency syndrome (AIDS)          ")</f>
        <v>          Acquired immunodeficiency syndrome (AIDS)          </v>
      </c>
      <c r="C482" s="34" t="str">
        <f>IFERROR(__xludf.DUMMYFUNCTION("""COMPUTED_VALUE"""),"MONDO:0012268")</f>
        <v>MONDO:0012268</v>
      </c>
      <c r="D482" s="29" t="str">
        <f>IFERROR(__xludf.DUMMYFUNCTION("""COMPUTED_VALUE"""),"A syndrome resulting from the acquired deficiency of cellular immunity caused by the human immunodeficiency virus (HIV). It is characterized by the reduction of the Helper T-lymphocytes in the peripheral blood and the lymph nodes.")</f>
        <v>A syndrome resulting from the acquired deficiency of cellular immunity caused by the human immunodeficiency virus (HIV). It is characterized by the reduction of the Helper T-lymphocytes in the peripheral blood and the lymph nodes.</v>
      </c>
      <c r="H482" s="55" t="s">
        <v>19</v>
      </c>
      <c r="I482" s="55" t="s">
        <v>19</v>
      </c>
      <c r="J482" s="55" t="s">
        <v>19</v>
      </c>
      <c r="K482" s="55" t="str">
        <f t="shared" si="35"/>
        <v>Mpox</v>
      </c>
      <c r="M482" s="40"/>
    </row>
    <row r="483">
      <c r="A483" s="34"/>
      <c r="B483" s="53" t="str">
        <f>IFERROR(__xludf.DUMMYFUNCTION("""COMPUTED_VALUE"""),"     Human papilloma virus infection (HPV)               ")</f>
        <v>     Human papilloma virus infection (HPV)               </v>
      </c>
      <c r="C483" s="34" t="str">
        <f>IFERROR(__xludf.DUMMYFUNCTION("""COMPUTED_VALUE"""),"MONDO:0005161")</f>
        <v>MONDO:0005161</v>
      </c>
      <c r="D483" s="29" t="str">
        <f>IFERROR(__xludf.DUMMYFUNCTION("""COMPUTED_VALUE"""),"An infectious process caused by a human papillomavirus. This infection can cause abnormal tissue growth.")</f>
        <v>An infectious process caused by a human papillomavirus. This infection can cause abnormal tissue growth.</v>
      </c>
      <c r="H483" s="55" t="s">
        <v>19</v>
      </c>
      <c r="I483" s="55" t="s">
        <v>19</v>
      </c>
      <c r="J483" s="55" t="s">
        <v>19</v>
      </c>
      <c r="K483" s="55" t="str">
        <f t="shared" si="35"/>
        <v>Mpox</v>
      </c>
      <c r="M483" s="40"/>
    </row>
    <row r="484">
      <c r="A484" s="34"/>
      <c r="B484" s="53" t="str">
        <f>IFERROR(__xludf.DUMMYFUNCTION("""COMPUTED_VALUE"""),"     Lymphogranuloma venereum               ")</f>
        <v>     Lymphogranuloma venereum               </v>
      </c>
      <c r="C484" s="34" t="str">
        <f>IFERROR(__xludf.DUMMYFUNCTION("""COMPUTED_VALUE"""),"DOID:13819")</f>
        <v>DOID:13819</v>
      </c>
      <c r="D484"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H484" s="55" t="s">
        <v>19</v>
      </c>
      <c r="I484" s="55" t="s">
        <v>19</v>
      </c>
      <c r="J484" s="55" t="s">
        <v>19</v>
      </c>
      <c r="K484" s="55" t="str">
        <f t="shared" si="35"/>
        <v>Mpox</v>
      </c>
      <c r="M484" s="40"/>
    </row>
    <row r="485">
      <c r="A485" s="34"/>
      <c r="B485" s="53" t="str">
        <f>IFERROR(__xludf.DUMMYFUNCTION("""COMPUTED_VALUE"""),"     Mycoplsma genitalium               ")</f>
        <v>     Mycoplsma genitalium               </v>
      </c>
      <c r="C485" s="34" t="str">
        <f>IFERROR(__xludf.DUMMYFUNCTION("""COMPUTED_VALUE"""),"NCBITaxon:2097")</f>
        <v>NCBITaxon:2097</v>
      </c>
      <c r="D485"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H485" s="55" t="s">
        <v>19</v>
      </c>
      <c r="I485" s="55" t="s">
        <v>19</v>
      </c>
      <c r="J485" s="55" t="s">
        <v>19</v>
      </c>
      <c r="K485" s="55" t="str">
        <f t="shared" si="35"/>
        <v>Mpox</v>
      </c>
      <c r="M485" s="40"/>
    </row>
    <row r="486">
      <c r="A486" s="29"/>
      <c r="B486" s="53" t="str">
        <f>IFERROR(__xludf.DUMMYFUNCTION("""COMPUTED_VALUE"""),"     Syphilis               ")</f>
        <v>     Syphilis               </v>
      </c>
      <c r="C486" s="29" t="str">
        <f>IFERROR(__xludf.DUMMYFUNCTION("""COMPUTED_VALUE"""),"DOID:4166")</f>
        <v>DOID:4166</v>
      </c>
      <c r="D486"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E486" s="29"/>
      <c r="F486" s="29"/>
      <c r="G486" s="29"/>
      <c r="H486" s="29"/>
      <c r="I486" s="29"/>
      <c r="J486" s="29"/>
      <c r="K486" s="55" t="str">
        <f t="shared" si="35"/>
        <v>Mpox</v>
      </c>
      <c r="M486" s="40"/>
    </row>
    <row r="487">
      <c r="A487" s="29"/>
      <c r="B487" s="53" t="str">
        <f>IFERROR(__xludf.DUMMYFUNCTION("""COMPUTED_VALUE"""),"     Trichomoniasis               ")</f>
        <v>     Trichomoniasis               </v>
      </c>
      <c r="C487" s="29" t="str">
        <f>IFERROR(__xludf.DUMMYFUNCTION("""COMPUTED_VALUE"""),"DOID:1947")</f>
        <v>DOID:1947</v>
      </c>
      <c r="D487"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E487" s="29"/>
      <c r="F487" s="29"/>
      <c r="G487" s="29"/>
      <c r="H487" s="56" t="s">
        <v>19</v>
      </c>
      <c r="I487" s="56" t="s">
        <v>19</v>
      </c>
      <c r="J487" s="56" t="s">
        <v>19</v>
      </c>
      <c r="K487" s="55" t="str">
        <f t="shared" si="35"/>
        <v>Mpox</v>
      </c>
      <c r="M487" s="40"/>
    </row>
    <row r="488">
      <c r="A488" s="29"/>
      <c r="B488" s="53" t="str">
        <f>IFERROR(__xludf.DUMMYFUNCTION("""COMPUTED_VALUE"""),"Lupus                    ")</f>
        <v>Lupus                    </v>
      </c>
      <c r="C488" s="29" t="str">
        <f>IFERROR(__xludf.DUMMYFUNCTION("""COMPUTED_VALUE"""),"MONDO:0004670")</f>
        <v>MONDO:0004670</v>
      </c>
      <c r="D488"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E488" s="29"/>
      <c r="F488" s="29"/>
      <c r="G488" s="29"/>
      <c r="H488" s="56" t="s">
        <v>19</v>
      </c>
      <c r="I488" s="56" t="s">
        <v>19</v>
      </c>
      <c r="J488" s="56" t="s">
        <v>19</v>
      </c>
      <c r="K488" s="55" t="str">
        <f t="shared" si="35"/>
        <v>Mpox</v>
      </c>
      <c r="M488" s="40"/>
    </row>
    <row r="489">
      <c r="A489" s="29"/>
      <c r="B489" s="53" t="str">
        <f>IFERROR(__xludf.DUMMYFUNCTION("""COMPUTED_VALUE"""),"Pregnancy                    ")</f>
        <v>Pregnancy                    </v>
      </c>
      <c r="C489" s="29" t="str">
        <f>IFERROR(__xludf.DUMMYFUNCTION("""COMPUTED_VALUE"""),"NCIT:C25742")</f>
        <v>NCIT:C25742</v>
      </c>
      <c r="D489"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E489" s="29"/>
      <c r="F489" s="29"/>
      <c r="G489" s="29"/>
      <c r="H489" s="56" t="s">
        <v>19</v>
      </c>
      <c r="I489" s="56" t="s">
        <v>19</v>
      </c>
      <c r="J489" s="56" t="s">
        <v>19</v>
      </c>
      <c r="K489" s="55" t="str">
        <f t="shared" si="35"/>
        <v>Mpox</v>
      </c>
      <c r="M489" s="40"/>
    </row>
    <row r="490">
      <c r="A490" s="29"/>
      <c r="B490" s="53" t="str">
        <f>IFERROR(__xludf.DUMMYFUNCTION("""COMPUTED_VALUE"""),"Prior therapy                    ")</f>
        <v>Prior therapy                    </v>
      </c>
      <c r="C490" s="29" t="str">
        <f>IFERROR(__xludf.DUMMYFUNCTION("""COMPUTED_VALUE"""),"NCIT:C16124")</f>
        <v>NCIT:C16124</v>
      </c>
      <c r="D490"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E490" s="29"/>
      <c r="F490" s="29"/>
      <c r="G490" s="29"/>
      <c r="H490" s="56" t="s">
        <v>19</v>
      </c>
      <c r="I490" s="56" t="s">
        <v>19</v>
      </c>
      <c r="J490" s="56" t="s">
        <v>19</v>
      </c>
      <c r="K490" s="55" t="str">
        <f t="shared" si="35"/>
        <v>Mpox</v>
      </c>
      <c r="M490" s="40"/>
    </row>
    <row r="491">
      <c r="A491" s="29"/>
      <c r="B491" s="53" t="str">
        <f>IFERROR(__xludf.DUMMYFUNCTION("""COMPUTED_VALUE"""),"     Cancer treatment               ")</f>
        <v>     Cancer treatment               </v>
      </c>
      <c r="C491" s="29" t="str">
        <f>IFERROR(__xludf.DUMMYFUNCTION("""COMPUTED_VALUE"""),"NCIT:C16212")</f>
        <v>NCIT:C16212</v>
      </c>
      <c r="D491" s="29" t="str">
        <f>IFERROR(__xludf.DUMMYFUNCTION("""COMPUTED_VALUE"""),"Any intervention for management of a malignant neoplasm.")</f>
        <v>Any intervention for management of a malignant neoplasm.</v>
      </c>
      <c r="E491" s="29"/>
      <c r="F491" s="29"/>
      <c r="G491" s="29"/>
      <c r="H491" s="56" t="s">
        <v>19</v>
      </c>
      <c r="I491" s="56" t="s">
        <v>19</v>
      </c>
      <c r="J491" s="56" t="s">
        <v>19</v>
      </c>
      <c r="K491" s="55" t="str">
        <f t="shared" si="35"/>
        <v>Mpox</v>
      </c>
      <c r="M491" s="40"/>
    </row>
    <row r="492">
      <c r="A492" s="29"/>
      <c r="B492" s="53" t="str">
        <f>IFERROR(__xludf.DUMMYFUNCTION("""COMPUTED_VALUE"""),"          Chemotherapy          ")</f>
        <v>          Chemotherapy          </v>
      </c>
      <c r="C492" s="29" t="str">
        <f>IFERROR(__xludf.DUMMYFUNCTION("""COMPUTED_VALUE"""),"NCIT:C15632")</f>
        <v>NCIT:C15632</v>
      </c>
      <c r="D492" s="29" t="str">
        <f>IFERROR(__xludf.DUMMYFUNCTION("""COMPUTED_VALUE"""),"The use of synthetic or naturally-occurring chemicals for the treatment of diseases.")</f>
        <v>The use of synthetic or naturally-occurring chemicals for the treatment of diseases.</v>
      </c>
      <c r="E492" s="29"/>
      <c r="F492" s="29"/>
      <c r="G492" s="29"/>
      <c r="H492" s="56" t="s">
        <v>19</v>
      </c>
      <c r="I492" s="56" t="s">
        <v>19</v>
      </c>
      <c r="J492" s="56" t="s">
        <v>19</v>
      </c>
      <c r="K492" s="55" t="str">
        <f t="shared" si="35"/>
        <v>Mpox</v>
      </c>
      <c r="M492" s="40"/>
    </row>
    <row r="493">
      <c r="A493" s="29"/>
      <c r="B493" s="53" t="str">
        <f>IFERROR(__xludf.DUMMYFUNCTION("""COMPUTED_VALUE"""),"     HIV and Antiretroviral therapy (ART)               ")</f>
        <v>     HIV and Antiretroviral therapy (ART)               </v>
      </c>
      <c r="C493" s="29" t="str">
        <f>IFERROR(__xludf.DUMMYFUNCTION("""COMPUTED_VALUE"""),"NCIT:C16118")</f>
        <v>NCIT:C16118</v>
      </c>
      <c r="D493"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E493" s="29"/>
      <c r="F493" s="29"/>
      <c r="G493" s="29"/>
      <c r="H493" s="56" t="s">
        <v>19</v>
      </c>
      <c r="I493" s="56" t="s">
        <v>19</v>
      </c>
      <c r="J493" s="56" t="s">
        <v>19</v>
      </c>
      <c r="K493" s="55" t="str">
        <f t="shared" si="35"/>
        <v>Mpox</v>
      </c>
      <c r="M493" s="40"/>
    </row>
    <row r="494">
      <c r="A494" s="29"/>
      <c r="B494" s="53" t="str">
        <f>IFERROR(__xludf.DUMMYFUNCTION("""COMPUTED_VALUE"""),"     Steroid               ")</f>
        <v>     Steroid               </v>
      </c>
      <c r="C494" s="29" t="str">
        <f>IFERROR(__xludf.DUMMYFUNCTION("""COMPUTED_VALUE"""),"CHEBI:35341")</f>
        <v>CHEBI:35341</v>
      </c>
      <c r="D494"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494" s="29"/>
      <c r="F494" s="29"/>
      <c r="G494" s="29"/>
      <c r="H494" s="56" t="s">
        <v>19</v>
      </c>
      <c r="I494" s="56" t="s">
        <v>19</v>
      </c>
      <c r="J494" s="56" t="s">
        <v>19</v>
      </c>
      <c r="K494" s="55" t="str">
        <f t="shared" si="35"/>
        <v>Mpox</v>
      </c>
      <c r="M494" s="40"/>
    </row>
    <row r="495">
      <c r="A495" s="29"/>
      <c r="B495" s="53" t="str">
        <f>IFERROR(__xludf.DUMMYFUNCTION("""COMPUTED_VALUE"""),"Transplant                    ")</f>
        <v>Transplant                    </v>
      </c>
      <c r="C495" s="29" t="str">
        <f>IFERROR(__xludf.DUMMYFUNCTION("""COMPUTED_VALUE"""),"NCIT:C159659")</f>
        <v>NCIT:C159659</v>
      </c>
      <c r="D495" s="29" t="str">
        <f>IFERROR(__xludf.DUMMYFUNCTION("""COMPUTED_VALUE"""),"An individual receiving a transplant.")</f>
        <v>An individual receiving a transplant.</v>
      </c>
      <c r="E495" s="29"/>
      <c r="F495" s="29"/>
      <c r="G495" s="29"/>
      <c r="H495" s="56" t="s">
        <v>19</v>
      </c>
      <c r="I495" s="56" t="s">
        <v>19</v>
      </c>
      <c r="J495" s="56" t="s">
        <v>19</v>
      </c>
      <c r="K495" s="55" t="str">
        <f t="shared" si="35"/>
        <v>Mpox</v>
      </c>
      <c r="M495" s="40"/>
    </row>
    <row r="496" hidden="1">
      <c r="A496" s="29" t="str">
        <f>IFERROR(__xludf.DUMMYFUNCTION("""COMPUTED_VALUE"""),"pre-existing conditions and risk factors international menu")</f>
        <v>pre-existing conditions and risk factors international menu</v>
      </c>
      <c r="B496" s="53" t="str">
        <f>IFERROR(__xludf.DUMMYFUNCTION("""COMPUTED_VALUE"""),"                    ")</f>
        <v>                    </v>
      </c>
      <c r="C496" s="29"/>
      <c r="D496" s="29" t="str">
        <f>IFERROR(__xludf.DUMMYFUNCTION("""COMPUTED_VALUE"""),"")</f>
        <v/>
      </c>
      <c r="E496" s="29"/>
      <c r="F496" s="29"/>
      <c r="G496" s="29"/>
      <c r="H496" s="56"/>
      <c r="I496" s="56"/>
      <c r="J496" s="56"/>
      <c r="K496" s="59" t="s">
        <v>27</v>
      </c>
      <c r="L496" s="34" t="str">
        <f>LEFT(A496, LEN(A496) - 5)
</f>
        <v>pre-existing conditions and risk factors international</v>
      </c>
      <c r="M496" s="34" t="str">
        <f>VLOOKUP(L496,'Field Reference Guide'!$B$6:$N$220,13,false)</f>
        <v>#N/A</v>
      </c>
    </row>
    <row r="497" hidden="1">
      <c r="A497" s="29"/>
      <c r="B497" s="53" t="str">
        <f>IFERROR(__xludf.DUMMYFUNCTION("""COMPUTED_VALUE"""),"Cancer [MONDO:0004992]                    ")</f>
        <v>Cancer [MONDO:0004992]                    </v>
      </c>
      <c r="C497" s="29" t="str">
        <f>IFERROR(__xludf.DUMMYFUNCTION("""COMPUTED_VALUE"""),"MONDO:0004992")</f>
        <v>MONDO:0004992</v>
      </c>
      <c r="D497" s="29" t="str">
        <f>IFERROR(__xludf.DUMMYFUNCTION("""COMPUTED_VALUE"""),"A tumor composed of atypical neoplastic, often pleomorphic cells that invade other tissues. Malignant neoplasms often metastasize to distant anatomic sites and may recur after excision. The most common malignant neoplasms are carcinomas (adenocarcinomas o"&amp;"r squamous cell carcinomas), Hodgkin and non-Hodgkin lymphomas, leukemias, melanomas, and sarcomas.")</f>
        <v>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v>
      </c>
      <c r="E497" s="29"/>
      <c r="F497" s="29"/>
      <c r="G497" s="29"/>
      <c r="H497" s="56" t="s">
        <v>19</v>
      </c>
      <c r="I497" s="56" t="s">
        <v>19</v>
      </c>
      <c r="J497" s="56" t="s">
        <v>19</v>
      </c>
      <c r="K497" s="55" t="str">
        <f t="shared" ref="K497:K521" si="36">K496</f>
        <v>International</v>
      </c>
      <c r="M497" s="57" t="s">
        <v>28</v>
      </c>
    </row>
    <row r="498" hidden="1">
      <c r="A498" s="29"/>
      <c r="B498" s="53" t="str">
        <f>IFERROR(__xludf.DUMMYFUNCTION("""COMPUTED_VALUE"""),"Diabetes mellitus (diabetes) [HP:0000819]                    ")</f>
        <v>Diabetes mellitus (diabetes) [HP:0000819]                    </v>
      </c>
      <c r="C498" s="29" t="str">
        <f>IFERROR(__xludf.DUMMYFUNCTION("""COMPUTED_VALUE"""),"HP:0000819")</f>
        <v>HP:0000819</v>
      </c>
      <c r="D498" s="29" t="str">
        <f>IFERROR(__xludf.DUMMYFUNCTION("""COMPUTED_VALUE"""),"A group of abnormalities characterized by hyperglycemia and glucose intolerance.")</f>
        <v>A group of abnormalities characterized by hyperglycemia and glucose intolerance.</v>
      </c>
      <c r="E498" s="29"/>
      <c r="F498" s="29"/>
      <c r="G498" s="29"/>
      <c r="H498" s="56" t="s">
        <v>19</v>
      </c>
      <c r="I498" s="56" t="s">
        <v>19</v>
      </c>
      <c r="J498" s="56" t="s">
        <v>19</v>
      </c>
      <c r="K498" s="55" t="str">
        <f t="shared" si="36"/>
        <v>International</v>
      </c>
      <c r="M498" s="40"/>
    </row>
    <row r="499" hidden="1">
      <c r="A499" s="29"/>
      <c r="B499" s="53" t="str">
        <f>IFERROR(__xludf.DUMMYFUNCTION("""COMPUTED_VALUE"""),"     Type I diabetes mellitus (T1D) [HP:0100651]               ")</f>
        <v>     Type I diabetes mellitus (T1D) [HP:0100651]               </v>
      </c>
      <c r="C499" s="29" t="str">
        <f>IFERROR(__xludf.DUMMYFUNCTION("""COMPUTED_VALUE"""),"HP:0100651")</f>
        <v>HP:0100651</v>
      </c>
      <c r="D499" s="29" t="str">
        <f>IFERROR(__xludf.DUMMYFUNCTION("""COMPUTED_VALUE"""),"A chronic condition in which the pancreas produces little or no insulin. Type I diabetes mellitus is manifested by the sudden onset of severe hyperglycemia with rapid progression to diabetic ketoacidosis unless treated with insulin.")</f>
        <v>A chronic condition in which the pancreas produces little or no insulin. Type I diabetes mellitus is manifested by the sudden onset of severe hyperglycemia with rapid progression to diabetic ketoacidosis unless treated with insulin.</v>
      </c>
      <c r="E499" s="29"/>
      <c r="F499" s="29"/>
      <c r="G499" s="29"/>
      <c r="H499" s="56" t="s">
        <v>19</v>
      </c>
      <c r="I499" s="56" t="s">
        <v>19</v>
      </c>
      <c r="J499" s="56" t="s">
        <v>19</v>
      </c>
      <c r="K499" s="55" t="str">
        <f t="shared" si="36"/>
        <v>International</v>
      </c>
      <c r="M499" s="40"/>
    </row>
    <row r="500" hidden="1">
      <c r="A500" s="29"/>
      <c r="B500" s="53" t="str">
        <f>IFERROR(__xludf.DUMMYFUNCTION("""COMPUTED_VALUE"""),"     Type II diabetes mellitus (T2D) [HP:0005978]               ")</f>
        <v>     Type II diabetes mellitus (T2D) [HP:0005978]               </v>
      </c>
      <c r="C500" s="29" t="str">
        <f>IFERROR(__xludf.DUMMYFUNCTION("""COMPUTED_VALUE"""),"HP:0005978")</f>
        <v>HP:0005978</v>
      </c>
      <c r="D500" s="29" t="str">
        <f>IFERROR(__xludf.DUMMYFUNCTION("""COMPUTED_VALUE"""),"A type of diabetes mellitus initially characterized by insulin resistance and hyperinsulinemia and subsequently by glucose interolerance and hyperglycemia.")</f>
        <v>A type of diabetes mellitus initially characterized by insulin resistance and hyperinsulinemia and subsequently by glucose interolerance and hyperglycemia.</v>
      </c>
      <c r="E500" s="29"/>
      <c r="F500" s="29"/>
      <c r="G500" s="29"/>
      <c r="H500" s="56" t="s">
        <v>19</v>
      </c>
      <c r="I500" s="56" t="s">
        <v>19</v>
      </c>
      <c r="J500" s="56" t="s">
        <v>19</v>
      </c>
      <c r="K500" s="55" t="str">
        <f t="shared" si="36"/>
        <v>International</v>
      </c>
      <c r="M500" s="40"/>
    </row>
    <row r="501" hidden="1">
      <c r="A501" s="29"/>
      <c r="B501" s="53" t="str">
        <f>IFERROR(__xludf.DUMMYFUNCTION("""COMPUTED_VALUE"""),"Immunocompromised [NCIT:C14139]                    ")</f>
        <v>Immunocompromised [NCIT:C14139]                    </v>
      </c>
      <c r="C501" s="29" t="str">
        <f>IFERROR(__xludf.DUMMYFUNCTION("""COMPUTED_VALUE"""),"NCIT:C14139")</f>
        <v>NCIT:C14139</v>
      </c>
      <c r="D501" s="29" t="str">
        <f>IFERROR(__xludf.DUMMYFUNCTION("""COMPUTED_VALUE"""),"A loss of any arm of immune functions, resulting in potential or actual increase in infections. This state may be reached secondary to specific genetic lesions, syndromes with unidentified or polygenic causes, acquired deficits from other disease states, "&amp;"or as result of therapy for other diseases or conditions.")</f>
        <v>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v>
      </c>
      <c r="E501" s="29"/>
      <c r="F501" s="29"/>
      <c r="G501" s="29"/>
      <c r="H501" s="56" t="s">
        <v>19</v>
      </c>
      <c r="I501" s="56" t="s">
        <v>19</v>
      </c>
      <c r="J501" s="56" t="s">
        <v>19</v>
      </c>
      <c r="K501" s="55" t="str">
        <f t="shared" si="36"/>
        <v>International</v>
      </c>
      <c r="M501" s="40"/>
    </row>
    <row r="502" hidden="1">
      <c r="A502" s="29"/>
      <c r="B502" s="53" t="str">
        <f>IFERROR(__xludf.DUMMYFUNCTION("""COMPUTED_VALUE"""),"Infectious disorder [NCIT:C26726]                    ")</f>
        <v>Infectious disorder [NCIT:C26726]                    </v>
      </c>
      <c r="C502" s="29" t="str">
        <f>IFERROR(__xludf.DUMMYFUNCTION("""COMPUTED_VALUE"""),"NCIT:C26726")</f>
        <v>NCIT:C26726</v>
      </c>
      <c r="D502" s="29" t="str">
        <f>IFERROR(__xludf.DUMMYFUNCTION("""COMPUTED_VALUE"""),"A disorder resulting from the presence and activity of a microbial, viral, fungal, or parasitic agent. It can be transmitted by direct or indirect contact.")</f>
        <v>A disorder resulting from the presence and activity of a microbial, viral, fungal, or parasitic agent. It can be transmitted by direct or indirect contact.</v>
      </c>
      <c r="E502" s="29"/>
      <c r="F502" s="29"/>
      <c r="G502" s="29"/>
      <c r="H502" s="56" t="s">
        <v>19</v>
      </c>
      <c r="I502" s="56" t="s">
        <v>19</v>
      </c>
      <c r="J502" s="56" t="s">
        <v>19</v>
      </c>
      <c r="K502" s="55" t="str">
        <f t="shared" si="36"/>
        <v>International</v>
      </c>
      <c r="M502" s="40"/>
    </row>
    <row r="503" hidden="1">
      <c r="A503" s="29"/>
      <c r="B503" s="53" t="str">
        <f>IFERROR(__xludf.DUMMYFUNCTION("""COMPUTED_VALUE"""),"     Chancroid (Haemophilus ducreyi) [DOID:13778]               ")</f>
        <v>     Chancroid (Haemophilus ducreyi) [DOID:13778]               </v>
      </c>
      <c r="C503" s="29" t="str">
        <f>IFERROR(__xludf.DUMMYFUNCTION("""COMPUTED_VALUE"""),"DOID:13778")</f>
        <v>DOID:13778</v>
      </c>
      <c r="D503" s="29" t="str">
        <f>IFERROR(__xludf.DUMMYFUNCTION("""COMPUTED_VALUE"""),"A primary bacterial infectious disease that is a sexually transmitted infection located in skin of the genitals, has_material_basis_in Haemophilus ducreyi, which is transmitted by sexual contact. The infection has symptom painful and soft ulcers.")</f>
        <v>A primary bacterial infectious disease that is a sexually transmitted infection located in skin of the genitals, has_material_basis_in Haemophilus ducreyi, which is transmitted by sexual contact. The infection has symptom painful and soft ulcers.</v>
      </c>
      <c r="E503" s="29"/>
      <c r="F503" s="29"/>
      <c r="G503" s="29"/>
      <c r="H503" s="56" t="s">
        <v>19</v>
      </c>
      <c r="I503" s="56" t="s">
        <v>19</v>
      </c>
      <c r="J503" s="56" t="s">
        <v>19</v>
      </c>
      <c r="K503" s="55" t="str">
        <f t="shared" si="36"/>
        <v>International</v>
      </c>
      <c r="M503" s="40"/>
    </row>
    <row r="504" hidden="1">
      <c r="A504" s="29"/>
      <c r="B504" s="53" t="str">
        <f>IFERROR(__xludf.DUMMYFUNCTION("""COMPUTED_VALUE"""),"     Chlamydia [DOID:11263]               ")</f>
        <v>     Chlamydia [DOID:11263]               </v>
      </c>
      <c r="C504" s="29" t="str">
        <f>IFERROR(__xludf.DUMMYFUNCTION("""COMPUTED_VALUE"""),"DOID:11263")</f>
        <v>DOID:11263</v>
      </c>
      <c r="D504" s="29" t="str">
        <f>IFERROR(__xludf.DUMMYFUNCTION("""COMPUTED_VALUE"""),"A commensal bacterial infectious disease that is caused by Chlamydia trachomatis.")</f>
        <v>A commensal bacterial infectious disease that is caused by Chlamydia trachomatis.</v>
      </c>
      <c r="E504" s="29"/>
      <c r="F504" s="29"/>
      <c r="G504" s="29"/>
      <c r="H504" s="56" t="s">
        <v>19</v>
      </c>
      <c r="I504" s="56" t="s">
        <v>19</v>
      </c>
      <c r="J504" s="56" t="s">
        <v>19</v>
      </c>
      <c r="K504" s="55" t="str">
        <f t="shared" si="36"/>
        <v>International</v>
      </c>
      <c r="M504" s="40"/>
    </row>
    <row r="505" hidden="1">
      <c r="A505" s="29"/>
      <c r="B505" s="53" t="str">
        <f>IFERROR(__xludf.DUMMYFUNCTION("""COMPUTED_VALUE"""),"     Gonorrhea [DOID:7551]               ")</f>
        <v>     Gonorrhea [DOID:7551]               </v>
      </c>
      <c r="C505" s="29" t="str">
        <f>IFERROR(__xludf.DUMMYFUNCTION("""COMPUTED_VALUE"""),"DOID:7551")</f>
        <v>DOID:7551</v>
      </c>
      <c r="D505" s="29" t="str">
        <f>IFERROR(__xludf.DUMMYFUNCTION("""COMPUTED_VALUE"""),"A primary bacterial infectious disease that is a sexually transmitted infection, located_in uterus, located_in fallopian tube, located_in urethra, located_in mouth, located_in throat, located_in eye or located_in anus, has_material_basis_in Neisseria gono"&amp;"rrhoeae, which is transmitted_by contact with the penis, vagina, mouth, or anus or transmitted_by congenitally from mother to baby during delivery. The infection has_symptom burning sensation during urination, has_symptom discharge from the penis, has_sym"&amp;"ptom increased vaginal discharge, or has_symptom vaginal bleeding between periods.")</f>
        <v>A primary bacterial infectious disease that is a sexually transmitted infection, located_in uterus, located_in fallopian tube, located_in urethra, located_in mouth, located_in throat, located_in eye or located_in anus, has_material_basis_in Neisseria gonorrhoeae, which is transmitted_by contact with the penis, vagina, mouth, or anus or transmitted_by congenitally from mother to baby during delivery. The infection has_symptom burning sensation during urination, has_symptom discharge from the penis, has_symptom increased vaginal discharge, or has_symptom vaginal bleeding between periods.</v>
      </c>
      <c r="E505" s="29"/>
      <c r="F505" s="29"/>
      <c r="G505" s="29"/>
      <c r="H505" s="56" t="s">
        <v>19</v>
      </c>
      <c r="I505" s="56" t="s">
        <v>19</v>
      </c>
      <c r="J505" s="56" t="s">
        <v>19</v>
      </c>
      <c r="K505" s="55" t="str">
        <f t="shared" si="36"/>
        <v>International</v>
      </c>
      <c r="M505" s="40"/>
    </row>
    <row r="506" hidden="1">
      <c r="A506" s="29"/>
      <c r="B506" s="53" t="str">
        <f>IFERROR(__xludf.DUMMYFUNCTION("""COMPUTED_VALUE"""),"     Herpes Simplex Virus infection (HSV) [NCIT:C155871]               ")</f>
        <v>     Herpes Simplex Virus infection (HSV) [NCIT:C155871]               </v>
      </c>
      <c r="C506" s="29" t="str">
        <f>IFERROR(__xludf.DUMMYFUNCTION("""COMPUTED_VALUE"""),"NCIT:C155871")</f>
        <v>NCIT:C155871</v>
      </c>
      <c r="D506" s="29" t="str">
        <f>IFERROR(__xludf.DUMMYFUNCTION("""COMPUTED_VALUE"""),"An infection that is caused by herpes simplex virus.")</f>
        <v>An infection that is caused by herpes simplex virus.</v>
      </c>
      <c r="E506" s="29"/>
      <c r="F506" s="29"/>
      <c r="G506" s="29"/>
      <c r="H506" s="56" t="s">
        <v>19</v>
      </c>
      <c r="I506" s="56" t="s">
        <v>19</v>
      </c>
      <c r="J506" s="56" t="s">
        <v>19</v>
      </c>
      <c r="K506" s="55" t="str">
        <f t="shared" si="36"/>
        <v>International</v>
      </c>
      <c r="M506" s="40"/>
    </row>
    <row r="507" hidden="1">
      <c r="A507" s="29"/>
      <c r="B507" s="53" t="str">
        <f>IFERROR(__xludf.DUMMYFUNCTION("""COMPUTED_VALUE"""),"     Human immunodeficiency virus (HIV) [MONDO:0005109]               ")</f>
        <v>     Human immunodeficiency virus (HIV) [MONDO:0005109]               </v>
      </c>
      <c r="C507" s="29" t="str">
        <f>IFERROR(__xludf.DUMMYFUNCTION("""COMPUTED_VALUE"""),"MONDO:0005109")</f>
        <v>MONDO:0005109</v>
      </c>
      <c r="D507" s="29" t="str">
        <f>IFERROR(__xludf.DUMMYFUNCTION("""COMPUTED_VALUE"""),"An infection caused by the human immunodeficiency virus.")</f>
        <v>An infection caused by the human immunodeficiency virus.</v>
      </c>
      <c r="E507" s="29"/>
      <c r="F507" s="29"/>
      <c r="G507" s="29"/>
      <c r="H507" s="56" t="s">
        <v>19</v>
      </c>
      <c r="I507" s="56" t="s">
        <v>19</v>
      </c>
      <c r="J507" s="56" t="s">
        <v>19</v>
      </c>
      <c r="K507" s="55" t="str">
        <f t="shared" si="36"/>
        <v>International</v>
      </c>
      <c r="M507" s="40"/>
    </row>
    <row r="508" hidden="1">
      <c r="A508" s="29"/>
      <c r="B508" s="53" t="str">
        <f>IFERROR(__xludf.DUMMYFUNCTION("""COMPUTED_VALUE"""),"          Acquired immunodeficiency syndrome (AIDS) [MONDO:0012268]          ")</f>
        <v>          Acquired immunodeficiency syndrome (AIDS) [MONDO:0012268]          </v>
      </c>
      <c r="C508" s="29" t="str">
        <f>IFERROR(__xludf.DUMMYFUNCTION("""COMPUTED_VALUE"""),"MONDO:0012268")</f>
        <v>MONDO:0012268</v>
      </c>
      <c r="D508" s="29" t="str">
        <f>IFERROR(__xludf.DUMMYFUNCTION("""COMPUTED_VALUE"""),"A syndrome resulting from the acquired deficiency of cellular immunity caused by the human immunodeficiency virus (HIV). It is characterized by the reduction of the Helper T-lymphocytes in the peripheral blood and the lymph nodes.")</f>
        <v>A syndrome resulting from the acquired deficiency of cellular immunity caused by the human immunodeficiency virus (HIV). It is characterized by the reduction of the Helper T-lymphocytes in the peripheral blood and the lymph nodes.</v>
      </c>
      <c r="E508" s="29"/>
      <c r="F508" s="29"/>
      <c r="G508" s="29"/>
      <c r="H508" s="56" t="s">
        <v>19</v>
      </c>
      <c r="I508" s="56" t="s">
        <v>19</v>
      </c>
      <c r="J508" s="56" t="s">
        <v>19</v>
      </c>
      <c r="K508" s="55" t="str">
        <f t="shared" si="36"/>
        <v>International</v>
      </c>
      <c r="M508" s="40"/>
    </row>
    <row r="509" hidden="1">
      <c r="A509" s="29"/>
      <c r="B509" s="53" t="str">
        <f>IFERROR(__xludf.DUMMYFUNCTION("""COMPUTED_VALUE"""),"     Human papilloma virus infection (HPV) [MONDO:0005161]               ")</f>
        <v>     Human papilloma virus infection (HPV) [MONDO:0005161]               </v>
      </c>
      <c r="C509" s="29" t="str">
        <f>IFERROR(__xludf.DUMMYFUNCTION("""COMPUTED_VALUE"""),"MONDO:0005161")</f>
        <v>MONDO:0005161</v>
      </c>
      <c r="D509" s="29" t="str">
        <f>IFERROR(__xludf.DUMMYFUNCTION("""COMPUTED_VALUE"""),"An infectious process caused by a human papillomavirus. This infection can cause abnormal tissue growth.")</f>
        <v>An infectious process caused by a human papillomavirus. This infection can cause abnormal tissue growth.</v>
      </c>
      <c r="E509" s="29"/>
      <c r="F509" s="29"/>
      <c r="G509" s="29"/>
      <c r="H509" s="56" t="s">
        <v>19</v>
      </c>
      <c r="I509" s="56" t="s">
        <v>19</v>
      </c>
      <c r="J509" s="56" t="s">
        <v>19</v>
      </c>
      <c r="K509" s="55" t="str">
        <f t="shared" si="36"/>
        <v>International</v>
      </c>
      <c r="M509" s="40"/>
    </row>
    <row r="510" hidden="1">
      <c r="A510" s="29"/>
      <c r="B510" s="53" t="str">
        <f>IFERROR(__xludf.DUMMYFUNCTION("""COMPUTED_VALUE"""),"     Lymphogranuloma venereum [DOID:13819]               ")</f>
        <v>     Lymphogranuloma venereum [DOID:13819]               </v>
      </c>
      <c r="C510" s="29" t="str">
        <f>IFERROR(__xludf.DUMMYFUNCTION("""COMPUTED_VALUE"""),"DOID:13819")</f>
        <v>DOID:13819</v>
      </c>
      <c r="D510" s="29" t="str">
        <f>IFERROR(__xludf.DUMMYFUNCTION("""COMPUTED_VALUE"""),"A commensal bacterial infectious disease that results_in infection located_in lymph nodes, has_material_basis_in Chlamydia trachomatis, which is transmitted_by sexual contact, and transmitted_by fomites. The infection has_symptom inguinal lymphadenitis, h"&amp;"as_symptom abscesses in the groin area, and has_symptom lymphangitis.")</f>
        <v>A commensal bacterial infectious disease that results_in infection located_in lymph nodes, has_material_basis_in Chlamydia trachomatis, which is transmitted_by sexual contact, and transmitted_by fomites. The infection has_symptom inguinal lymphadenitis, has_symptom abscesses in the groin area, and has_symptom lymphangitis.</v>
      </c>
      <c r="E510" s="29"/>
      <c r="F510" s="29"/>
      <c r="G510" s="29"/>
      <c r="H510" s="56" t="s">
        <v>19</v>
      </c>
      <c r="I510" s="56" t="s">
        <v>19</v>
      </c>
      <c r="J510" s="56" t="s">
        <v>19</v>
      </c>
      <c r="K510" s="55" t="str">
        <f t="shared" si="36"/>
        <v>International</v>
      </c>
      <c r="M510" s="40"/>
    </row>
    <row r="511" hidden="1">
      <c r="A511" s="29"/>
      <c r="B511" s="53" t="str">
        <f>IFERROR(__xludf.DUMMYFUNCTION("""COMPUTED_VALUE"""),"     Mycoplsma genitalium [NCBITaxon:2097]               ")</f>
        <v>     Mycoplsma genitalium [NCBITaxon:2097]               </v>
      </c>
      <c r="C511" s="29" t="str">
        <f>IFERROR(__xludf.DUMMYFUNCTION("""COMPUTED_VALUE"""),"NCBITaxon:2097")</f>
        <v>NCBITaxon:2097</v>
      </c>
      <c r="D511" s="29" t="str">
        <f>IFERROR(__xludf.DUMMYFUNCTION("""COMPUTED_VALUE"""),"A sexually transmitted, small and pathogenic bacterium that lives on the mucous epithelial cells of the urinary and genital tracts in humans.")</f>
        <v>A sexually transmitted, small and pathogenic bacterium that lives on the mucous epithelial cells of the urinary and genital tracts in humans.</v>
      </c>
      <c r="E511" s="29"/>
      <c r="F511" s="29"/>
      <c r="G511" s="29"/>
      <c r="H511" s="56" t="s">
        <v>19</v>
      </c>
      <c r="I511" s="56" t="s">
        <v>19</v>
      </c>
      <c r="J511" s="56" t="s">
        <v>19</v>
      </c>
      <c r="K511" s="55" t="str">
        <f t="shared" si="36"/>
        <v>International</v>
      </c>
      <c r="M511" s="40"/>
    </row>
    <row r="512" hidden="1">
      <c r="A512" s="34"/>
      <c r="B512" s="53" t="str">
        <f>IFERROR(__xludf.DUMMYFUNCTION("""COMPUTED_VALUE"""),"     Syphilis [DOID:4166]               ")</f>
        <v>     Syphilis [DOID:4166]               </v>
      </c>
      <c r="C512" s="34" t="str">
        <f>IFERROR(__xludf.DUMMYFUNCTION("""COMPUTED_VALUE"""),"DOID:4166")</f>
        <v>DOID:4166</v>
      </c>
      <c r="D512" s="29" t="str">
        <f>IFERROR(__xludf.DUMMYFUNCTION("""COMPUTED_VALUE"""),"A primary bacterial infectious disease that is a sexually transmitted systemic disease, has_material_basis_in Treponema pallidum subsp pallidum, which is transmitted_by sexual contact, transmitted_by blood product transfusion, transmitted_by congenital me"&amp;"thod from mother to fetus or transmitted_by contact with infectious lesions. If left untreated, produces chancres, rashes, and systemic lesions in a clinical course with three stages continued over many years.")</f>
        <v>A primary bacterial infectious disease that is a sexually transmitted systemic disease, has_material_basis_in Treponema pallidum subsp pallidum, which is transmitted_by sexual contact, transmitted_by blood product transfusion, transmitted_by congenital method from mother to fetus or transmitted_by contact with infectious lesions. If left untreated, produces chancres, rashes, and systemic lesions in a clinical course with three stages continued over many years.</v>
      </c>
      <c r="K512" s="55" t="str">
        <f t="shared" si="36"/>
        <v>International</v>
      </c>
      <c r="M512" s="40"/>
    </row>
    <row r="513" hidden="1">
      <c r="A513" s="34"/>
      <c r="B513" s="53" t="str">
        <f>IFERROR(__xludf.DUMMYFUNCTION("""COMPUTED_VALUE"""),"     Trichomoniasis [DOID:1947]               ")</f>
        <v>     Trichomoniasis [DOID:1947]               </v>
      </c>
      <c r="C513" s="34" t="str">
        <f>IFERROR(__xludf.DUMMYFUNCTION("""COMPUTED_VALUE"""),"DOID:1947")</f>
        <v>DOID:1947</v>
      </c>
      <c r="D513" s="29" t="str">
        <f>IFERROR(__xludf.DUMMYFUNCTION("""COMPUTED_VALUE"""),"A parasitic protozoa infectious disease that is caused by singled-celled protozoan parasites Trichomonas vaginalis or Trichomonas tenax, which infect the urogenital tract and mouth respectively.")</f>
        <v>A parasitic protozoa infectious disease that is caused by singled-celled protozoan parasites Trichomonas vaginalis or Trichomonas tenax, which infect the urogenital tract and mouth respectively.</v>
      </c>
      <c r="H513" s="55" t="s">
        <v>19</v>
      </c>
      <c r="I513" s="55" t="s">
        <v>19</v>
      </c>
      <c r="J513" s="55" t="s">
        <v>19</v>
      </c>
      <c r="K513" s="55" t="str">
        <f t="shared" si="36"/>
        <v>International</v>
      </c>
      <c r="M513" s="40"/>
    </row>
    <row r="514" hidden="1">
      <c r="A514" s="34"/>
      <c r="B514" s="53" t="str">
        <f>IFERROR(__xludf.DUMMYFUNCTION("""COMPUTED_VALUE"""),"Lupus [MONDO:0004670]                    ")</f>
        <v>Lupus [MONDO:0004670]                    </v>
      </c>
      <c r="C514" s="34" t="str">
        <f>IFERROR(__xludf.DUMMYFUNCTION("""COMPUTED_VALUE"""),"MONDO:0004670")</f>
        <v>MONDO:0004670</v>
      </c>
      <c r="D514" s="29" t="str">
        <f>IFERROR(__xludf.DUMMYFUNCTION("""COMPUTED_VALUE"""),"An autoimmune, connective tissue chronic inflammatory disorder affecting the skin, joints, kidneys, lungs, heart, and the peripheral blood cells. It is more commonly seen in women than men. Variants include discoid and systemic lupus erythematosus.")</f>
        <v>An autoimmune, connective tissue chronic inflammatory disorder affecting the skin, joints, kidneys, lungs, heart, and the peripheral blood cells. It is more commonly seen in women than men. Variants include discoid and systemic lupus erythematosus.</v>
      </c>
      <c r="H514" s="55" t="s">
        <v>19</v>
      </c>
      <c r="I514" s="55" t="s">
        <v>19</v>
      </c>
      <c r="J514" s="55" t="s">
        <v>19</v>
      </c>
      <c r="K514" s="55" t="str">
        <f t="shared" si="36"/>
        <v>International</v>
      </c>
      <c r="M514" s="40"/>
    </row>
    <row r="515" hidden="1">
      <c r="A515" s="34"/>
      <c r="B515" s="53" t="str">
        <f>IFERROR(__xludf.DUMMYFUNCTION("""COMPUTED_VALUE"""),"Pregnancy [NCIT:C25742]                    ")</f>
        <v>Pregnancy [NCIT:C25742]                    </v>
      </c>
      <c r="C515" s="34" t="str">
        <f>IFERROR(__xludf.DUMMYFUNCTION("""COMPUTED_VALUE"""),"NCIT:C25742")</f>
        <v>NCIT:C25742</v>
      </c>
      <c r="D515" s="29" t="str">
        <f>IFERROR(__xludf.DUMMYFUNCTION("""COMPUTED_VALUE"""),"The state or condition of having a developing embryo or fetus in the body (uterus), after union of an ovum and spermatozoon, during the period from conception to birth.")</f>
        <v>The state or condition of having a developing embryo or fetus in the body (uterus), after union of an ovum and spermatozoon, during the period from conception to birth.</v>
      </c>
      <c r="H515" s="55" t="s">
        <v>19</v>
      </c>
      <c r="I515" s="55" t="s">
        <v>19</v>
      </c>
      <c r="J515" s="55" t="s">
        <v>19</v>
      </c>
      <c r="K515" s="55" t="str">
        <f t="shared" si="36"/>
        <v>International</v>
      </c>
      <c r="M515" s="40"/>
    </row>
    <row r="516" hidden="1">
      <c r="A516" s="34"/>
      <c r="B516" s="53" t="str">
        <f>IFERROR(__xludf.DUMMYFUNCTION("""COMPUTED_VALUE"""),"Prior therapy [NCIT:C16124]                    ")</f>
        <v>Prior therapy [NCIT:C16124]                    </v>
      </c>
      <c r="C516" s="34" t="str">
        <f>IFERROR(__xludf.DUMMYFUNCTION("""COMPUTED_VALUE"""),"NCIT:C16124")</f>
        <v>NCIT:C16124</v>
      </c>
      <c r="D516" s="29" t="str">
        <f>IFERROR(__xludf.DUMMYFUNCTION("""COMPUTED_VALUE"""),"Prior action or administration of therapeutic agents that produced an effect that is intended to alter or stop a pathologic process.")</f>
        <v>Prior action or administration of therapeutic agents that produced an effect that is intended to alter or stop a pathologic process.</v>
      </c>
      <c r="H516" s="55" t="s">
        <v>19</v>
      </c>
      <c r="I516" s="55" t="s">
        <v>19</v>
      </c>
      <c r="J516" s="55" t="s">
        <v>19</v>
      </c>
      <c r="K516" s="55" t="str">
        <f t="shared" si="36"/>
        <v>International</v>
      </c>
      <c r="M516" s="40"/>
    </row>
    <row r="517" hidden="1">
      <c r="A517" s="34"/>
      <c r="B517" s="53" t="str">
        <f>IFERROR(__xludf.DUMMYFUNCTION("""COMPUTED_VALUE"""),"     Cancer treatment [NCIT:C16212]               ")</f>
        <v>     Cancer treatment [NCIT:C16212]               </v>
      </c>
      <c r="C517" s="34" t="str">
        <f>IFERROR(__xludf.DUMMYFUNCTION("""COMPUTED_VALUE"""),"NCIT:C16212")</f>
        <v>NCIT:C16212</v>
      </c>
      <c r="D517" s="29" t="str">
        <f>IFERROR(__xludf.DUMMYFUNCTION("""COMPUTED_VALUE"""),"Any intervention for management of a malignant neoplasm.")</f>
        <v>Any intervention for management of a malignant neoplasm.</v>
      </c>
      <c r="H517" s="55" t="s">
        <v>19</v>
      </c>
      <c r="I517" s="55" t="s">
        <v>19</v>
      </c>
      <c r="J517" s="55" t="s">
        <v>19</v>
      </c>
      <c r="K517" s="55" t="str">
        <f t="shared" si="36"/>
        <v>International</v>
      </c>
      <c r="M517" s="40"/>
    </row>
    <row r="518" hidden="1">
      <c r="A518" s="34"/>
      <c r="B518" s="53" t="str">
        <f>IFERROR(__xludf.DUMMYFUNCTION("""COMPUTED_VALUE"""),"          Chemotherapy [NCIT:C15632]          ")</f>
        <v>          Chemotherapy [NCIT:C15632]          </v>
      </c>
      <c r="C518" s="34" t="str">
        <f>IFERROR(__xludf.DUMMYFUNCTION("""COMPUTED_VALUE"""),"NCIT:C15632")</f>
        <v>NCIT:C15632</v>
      </c>
      <c r="D518" s="29" t="str">
        <f>IFERROR(__xludf.DUMMYFUNCTION("""COMPUTED_VALUE"""),"The use of synthetic or naturally-occurring chemicals for the treatment of diseases.")</f>
        <v>The use of synthetic or naturally-occurring chemicals for the treatment of diseases.</v>
      </c>
      <c r="H518" s="55" t="s">
        <v>19</v>
      </c>
      <c r="I518" s="55" t="s">
        <v>19</v>
      </c>
      <c r="J518" s="55" t="s">
        <v>19</v>
      </c>
      <c r="K518" s="55" t="str">
        <f t="shared" si="36"/>
        <v>International</v>
      </c>
      <c r="M518" s="40"/>
    </row>
    <row r="519" hidden="1">
      <c r="A519" s="34"/>
      <c r="B519" s="53" t="str">
        <f>IFERROR(__xludf.DUMMYFUNCTION("""COMPUTED_VALUE"""),"     HIV and Antiretroviral therapy (ART)  [NCIT:C16118]               ")</f>
        <v>     HIV and Antiretroviral therapy (ART)  [NCIT:C16118]               </v>
      </c>
      <c r="C519" s="34" t="str">
        <f>IFERROR(__xludf.DUMMYFUNCTION("""COMPUTED_VALUE"""),"NCIT:C16118")</f>
        <v>NCIT:C16118</v>
      </c>
      <c r="D519" s="29" t="str">
        <f>IFERROR(__xludf.DUMMYFUNCTION("""COMPUTED_VALUE"""),"Treatment of human immunodeficiency virus (HIV) infections with medications that target the virus directly, limiting the ability of infected cells to produce new HIV particles.")</f>
        <v>Treatment of human immunodeficiency virus (HIV) infections with medications that target the virus directly, limiting the ability of infected cells to produce new HIV particles.</v>
      </c>
      <c r="H519" s="55" t="s">
        <v>19</v>
      </c>
      <c r="I519" s="55" t="s">
        <v>19</v>
      </c>
      <c r="J519" s="55" t="s">
        <v>19</v>
      </c>
      <c r="K519" s="55" t="str">
        <f t="shared" si="36"/>
        <v>International</v>
      </c>
      <c r="M519" s="40"/>
    </row>
    <row r="520" hidden="1">
      <c r="A520" s="29"/>
      <c r="B520" s="53" t="str">
        <f>IFERROR(__xludf.DUMMYFUNCTION("""COMPUTED_VALUE"""),"     Steroid [CHEBI:35341]               ")</f>
        <v>     Steroid [CHEBI:35341]               </v>
      </c>
      <c r="C520" s="29" t="str">
        <f>IFERROR(__xludf.DUMMYFUNCTION("""COMPUTED_VALUE"""),"CHEBI:35341")</f>
        <v>CHEBI:35341</v>
      </c>
      <c r="D520" s="29" t="str">
        <f>IFERROR(__xludf.DUMMYFUNCTION("""COMPUTED_VALUE"""),"Any of naturally occurring compounds and synthetic analogues, based on the cyclopenta[a]phenanthrene carbon skeleton, partially or completely hydrogenated; there are usually methyl groups at C-10 and C-13, and often an alkyl group at C-17. By extension, o"&amp;"ne or more bond scissions, ring expansions and/or ring contractions of the skeleton may have occurred. Natural steroids are derived biogenetically from squalene which is a triterpene.")</f>
        <v>Any of naturally occurring compounds and synthetic analogues, based on the cyclopenta[a]phenanthrene carbon skeleton, partially or completely hydrogenated; there are usually methyl groups at C-10 and C-13, and often an alkyl group at C-17. By extension, one or more bond scissions, ring expansions and/or ring contractions of the skeleton may have occurred. Natural steroids are derived biogenetically from squalene which is a triterpene.</v>
      </c>
      <c r="E520" s="29"/>
      <c r="F520" s="29"/>
      <c r="G520" s="29"/>
      <c r="H520" s="29"/>
      <c r="I520" s="29"/>
      <c r="J520" s="29"/>
      <c r="K520" s="55" t="str">
        <f t="shared" si="36"/>
        <v>International</v>
      </c>
      <c r="M520" s="40"/>
    </row>
    <row r="521" hidden="1">
      <c r="A521" s="29"/>
      <c r="B521" s="53" t="str">
        <f>IFERROR(__xludf.DUMMYFUNCTION("""COMPUTED_VALUE"""),"Transplant [NCIT:C159659]                    ")</f>
        <v>Transplant [NCIT:C159659]                    </v>
      </c>
      <c r="C521" s="29" t="str">
        <f>IFERROR(__xludf.DUMMYFUNCTION("""COMPUTED_VALUE"""),"NCIT:C159659")</f>
        <v>NCIT:C159659</v>
      </c>
      <c r="D521" s="29" t="str">
        <f>IFERROR(__xludf.DUMMYFUNCTION("""COMPUTED_VALUE"""),"An individual receiving a transplant.")</f>
        <v>An individual receiving a transplant.</v>
      </c>
      <c r="E521" s="29"/>
      <c r="F521" s="29"/>
      <c r="G521" s="29"/>
      <c r="H521" s="56" t="s">
        <v>19</v>
      </c>
      <c r="I521" s="56" t="s">
        <v>19</v>
      </c>
      <c r="J521" s="56" t="s">
        <v>19</v>
      </c>
      <c r="K521" s="55" t="str">
        <f t="shared" si="36"/>
        <v>International</v>
      </c>
      <c r="M521" s="40"/>
    </row>
    <row r="522">
      <c r="A522" s="29" t="str">
        <f>IFERROR(__xludf.DUMMYFUNCTION("""COMPUTED_VALUE"""),"complications menu")</f>
        <v>complications menu</v>
      </c>
      <c r="B522" s="53" t="str">
        <f>IFERROR(__xludf.DUMMYFUNCTION("""COMPUTED_VALUE"""),"                    ")</f>
        <v>                    </v>
      </c>
      <c r="C522" s="29"/>
      <c r="D522" s="29" t="str">
        <f>IFERROR(__xludf.DUMMYFUNCTION("""COMPUTED_VALUE"""),"")</f>
        <v/>
      </c>
      <c r="E522" s="29"/>
      <c r="F522" s="29"/>
      <c r="G522" s="29"/>
      <c r="H522" s="56"/>
      <c r="I522" s="56"/>
      <c r="J522" s="56"/>
      <c r="K522" s="35" t="s">
        <v>29</v>
      </c>
      <c r="L522" s="34" t="str">
        <f>LEFT(A522, LEN(A522) - 5)
</f>
        <v>complications</v>
      </c>
      <c r="M522" s="34" t="str">
        <f>VLOOKUP(L522,'Field Reference Guide'!$B$6:$N$220,13,false)</f>
        <v>Mpox</v>
      </c>
    </row>
    <row r="523">
      <c r="A523" s="29"/>
      <c r="B523" s="53" t="str">
        <f>IFERROR(__xludf.DUMMYFUNCTION("""COMPUTED_VALUE"""),"Bronchopneumonia                    ")</f>
        <v>Bronchopneumonia                    </v>
      </c>
      <c r="C523" s="29" t="str">
        <f>IFERROR(__xludf.DUMMYFUNCTION("""COMPUTED_VALUE"""),"MONDO:0005682")</f>
        <v>MONDO:0005682</v>
      </c>
      <c r="D523"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E523" s="29"/>
      <c r="F523" s="29"/>
      <c r="G523" s="29"/>
      <c r="H523" s="56" t="s">
        <v>19</v>
      </c>
      <c r="I523" s="56" t="s">
        <v>19</v>
      </c>
      <c r="J523" s="56" t="s">
        <v>19</v>
      </c>
      <c r="K523" s="55" t="str">
        <f t="shared" ref="K523:K529" si="37">K522</f>
        <v>MPox</v>
      </c>
      <c r="M523" s="57" t="s">
        <v>26</v>
      </c>
    </row>
    <row r="524">
      <c r="A524" s="29"/>
      <c r="B524" s="53" t="str">
        <f>IFERROR(__xludf.DUMMYFUNCTION("""COMPUTED_VALUE"""),"Corneal infection                    ")</f>
        <v>Corneal infection                    </v>
      </c>
      <c r="C524" s="29" t="str">
        <f>IFERROR(__xludf.DUMMYFUNCTION("""COMPUTED_VALUE"""),"MONDO:0023865")</f>
        <v>MONDO:0023865</v>
      </c>
      <c r="D524"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E524" s="29"/>
      <c r="F524" s="29"/>
      <c r="G524" s="29"/>
      <c r="H524" s="56" t="s">
        <v>19</v>
      </c>
      <c r="I524" s="56" t="s">
        <v>19</v>
      </c>
      <c r="J524" s="56" t="s">
        <v>19</v>
      </c>
      <c r="K524" s="55" t="str">
        <f t="shared" si="37"/>
        <v>MPox</v>
      </c>
      <c r="M524" s="40"/>
    </row>
    <row r="525">
      <c r="A525" s="29"/>
      <c r="B525" s="53" t="str">
        <f>IFERROR(__xludf.DUMMYFUNCTION("""COMPUTED_VALUE"""),"Delayed wound healing (lesion healing)                    ")</f>
        <v>Delayed wound healing (lesion healing)                    </v>
      </c>
      <c r="C525" s="29" t="str">
        <f>IFERROR(__xludf.DUMMYFUNCTION("""COMPUTED_VALUE"""),"MP:0002908")</f>
        <v>MP:0002908</v>
      </c>
      <c r="D525" s="29" t="str">
        <f>IFERROR(__xludf.DUMMYFUNCTION("""COMPUTED_VALUE"""),"Longer time requirement for the ability to self-repair and close wounds than normal")</f>
        <v>Longer time requirement for the ability to self-repair and close wounds than normal</v>
      </c>
      <c r="E525" s="29"/>
      <c r="F525" s="29"/>
      <c r="G525" s="29"/>
      <c r="H525" s="56" t="s">
        <v>19</v>
      </c>
      <c r="I525" s="56" t="s">
        <v>19</v>
      </c>
      <c r="J525" s="56" t="s">
        <v>19</v>
      </c>
      <c r="K525" s="55" t="str">
        <f t="shared" si="37"/>
        <v>MPox</v>
      </c>
      <c r="M525" s="40"/>
    </row>
    <row r="526">
      <c r="A526" s="29"/>
      <c r="B526" s="53" t="str">
        <f>IFERROR(__xludf.DUMMYFUNCTION("""COMPUTED_VALUE"""),"Encephalitis                    ")</f>
        <v>Encephalitis                    </v>
      </c>
      <c r="C526" s="29" t="str">
        <f>IFERROR(__xludf.DUMMYFUNCTION("""COMPUTED_VALUE"""),"DOID:9588")</f>
        <v>DOID:9588</v>
      </c>
      <c r="D526" s="29" t="str">
        <f>IFERROR(__xludf.DUMMYFUNCTION("""COMPUTED_VALUE"""),"A brain disease that is characterized as an acute inflammation of the brain with flu-like symptoms.")</f>
        <v>A brain disease that is characterized as an acute inflammation of the brain with flu-like symptoms.</v>
      </c>
      <c r="E526" s="29"/>
      <c r="F526" s="29"/>
      <c r="G526" s="29"/>
      <c r="H526" s="56" t="s">
        <v>19</v>
      </c>
      <c r="I526" s="56" t="s">
        <v>19</v>
      </c>
      <c r="J526" s="56" t="s">
        <v>19</v>
      </c>
      <c r="K526" s="55" t="str">
        <f t="shared" si="37"/>
        <v>MPox</v>
      </c>
      <c r="M526" s="40"/>
    </row>
    <row r="527">
      <c r="A527" s="29"/>
      <c r="B527" s="53" t="str">
        <f>IFERROR(__xludf.DUMMYFUNCTION("""COMPUTED_VALUE"""),"Myocarditis                    ")</f>
        <v>Myocarditis                    </v>
      </c>
      <c r="C527" s="29" t="str">
        <f>IFERROR(__xludf.DUMMYFUNCTION("""COMPUTED_VALUE"""),"DOID:820")</f>
        <v>DOID:820</v>
      </c>
      <c r="D527" s="29" t="str">
        <f>IFERROR(__xludf.DUMMYFUNCTION("""COMPUTED_VALUE"""),"An extrinsic cardiomyopathy that is characterized as an inflammation of the heart muscle.")</f>
        <v>An extrinsic cardiomyopathy that is characterized as an inflammation of the heart muscle.</v>
      </c>
      <c r="E527" s="29"/>
      <c r="F527" s="29"/>
      <c r="G527" s="29"/>
      <c r="H527" s="56" t="s">
        <v>19</v>
      </c>
      <c r="I527" s="56" t="s">
        <v>19</v>
      </c>
      <c r="J527" s="56" t="s">
        <v>19</v>
      </c>
      <c r="K527" s="55" t="str">
        <f t="shared" si="37"/>
        <v>MPox</v>
      </c>
      <c r="M527" s="40"/>
    </row>
    <row r="528">
      <c r="A528" s="34"/>
      <c r="B528" s="53" t="str">
        <f>IFERROR(__xludf.DUMMYFUNCTION("""COMPUTED_VALUE"""),"Secondary infection                    ")</f>
        <v>Secondary infection                    </v>
      </c>
      <c r="C528" s="34" t="str">
        <f>IFERROR(__xludf.DUMMYFUNCTION("""COMPUTED_VALUE"""),"IDO:0000567")</f>
        <v>IDO:0000567</v>
      </c>
      <c r="D528" s="29" t="str">
        <f>IFERROR(__xludf.DUMMYFUNCTION("""COMPUTED_VALUE"""),"An infection bearing the secondary infection role.")</f>
        <v>An infection bearing the secondary infection role.</v>
      </c>
      <c r="K528" s="55" t="str">
        <f t="shared" si="37"/>
        <v>MPox</v>
      </c>
      <c r="M528" s="40"/>
    </row>
    <row r="529">
      <c r="A529" s="34"/>
      <c r="B529" s="53" t="str">
        <f>IFERROR(__xludf.DUMMYFUNCTION("""COMPUTED_VALUE"""),"Sepsis                    ")</f>
        <v>Sepsis                    </v>
      </c>
      <c r="C529" s="34" t="str">
        <f>IFERROR(__xludf.DUMMYFUNCTION("""COMPUTED_VALUE"""),"HP:0100806")</f>
        <v>HP:0100806</v>
      </c>
      <c r="D529" s="29" t="str">
        <f>IFERROR(__xludf.DUMMYFUNCTION("""COMPUTED_VALUE"""),"Systemic inflammatory response to infection.")</f>
        <v>Systemic inflammatory response to infection.</v>
      </c>
      <c r="H529" s="55" t="s">
        <v>19</v>
      </c>
      <c r="I529" s="55" t="s">
        <v>19</v>
      </c>
      <c r="J529" s="55" t="s">
        <v>19</v>
      </c>
      <c r="K529" s="55" t="str">
        <f t="shared" si="37"/>
        <v>MPox</v>
      </c>
      <c r="M529" s="40"/>
    </row>
    <row r="530" hidden="1">
      <c r="A530" s="34" t="str">
        <f>IFERROR(__xludf.DUMMYFUNCTION("""COMPUTED_VALUE"""),"complications international menu")</f>
        <v>complications international menu</v>
      </c>
      <c r="B530" s="53" t="str">
        <f>IFERROR(__xludf.DUMMYFUNCTION("""COMPUTED_VALUE"""),"                    ")</f>
        <v>                    </v>
      </c>
      <c r="C530" s="34"/>
      <c r="D530" s="29" t="str">
        <f>IFERROR(__xludf.DUMMYFUNCTION("""COMPUTED_VALUE"""),"")</f>
        <v/>
      </c>
      <c r="E530" s="34"/>
      <c r="F530" s="34"/>
      <c r="G530" s="34"/>
      <c r="H530" s="55"/>
      <c r="I530" s="55"/>
      <c r="J530" s="55"/>
      <c r="K530" s="59" t="s">
        <v>27</v>
      </c>
      <c r="L530" s="34" t="str">
        <f>LEFT(A530, LEN(A530) - 5)
</f>
        <v>complications international</v>
      </c>
      <c r="M530" s="34" t="str">
        <f>VLOOKUP(L530,'Field Reference Guide'!$B$6:$N$220,13,false)</f>
        <v>#N/A</v>
      </c>
    </row>
    <row r="531" hidden="1">
      <c r="A531" s="29"/>
      <c r="B531" s="53" t="str">
        <f>IFERROR(__xludf.DUMMYFUNCTION("""COMPUTED_VALUE"""),"Bronchopneumonia [MONDO:0005682]                    ")</f>
        <v>Bronchopneumonia [MONDO:0005682]                    </v>
      </c>
      <c r="C531" s="29" t="str">
        <f>IFERROR(__xludf.DUMMYFUNCTION("""COMPUTED_VALUE"""),"MONDO:0005682")</f>
        <v>MONDO:0005682</v>
      </c>
      <c r="D531" s="29" t="str">
        <f>IFERROR(__xludf.DUMMYFUNCTION("""COMPUTED_VALUE"""),"Acute inflammation of the walls of the terminal bronchioles that spreads into the peribronchial alveoli and alveolar ducts. It results in the creation of foci of consolidation, which are surrounded by normal parenchyma. It affects one or more lobes, and i"&amp;"s frequently bilateral and basal. It is usually caused by bacteria (e.g., Staphylococcus, Streptococcus, Haemophilus influenzae). Signs and symptoms include fever, cough with production of brown-red sputum, dyspnea, and chest pain.")</f>
        <v>Acute inflammation of the walls of the terminal bronchioles that spreads into the peribronchial alveoli and alveolar ducts. It results in the creation of foci of consolidation, which are surrounded by normal parenchyma. It affects one or more lobes, and is frequently bilateral and basal. It is usually caused by bacteria (e.g., Staphylococcus, Streptococcus, Haemophilus influenzae). Signs and symptoms include fever, cough with production of brown-red sputum, dyspnea, and chest pain.</v>
      </c>
      <c r="E531" s="29"/>
      <c r="F531" s="29"/>
      <c r="G531" s="29"/>
      <c r="H531" s="29"/>
      <c r="I531" s="29"/>
      <c r="J531" s="29"/>
      <c r="K531" s="55" t="str">
        <f t="shared" ref="K531:K537" si="38">K530</f>
        <v>International</v>
      </c>
      <c r="M531" s="57" t="s">
        <v>28</v>
      </c>
    </row>
    <row r="532" hidden="1">
      <c r="A532" s="29"/>
      <c r="B532" s="53" t="str">
        <f>IFERROR(__xludf.DUMMYFUNCTION("""COMPUTED_VALUE"""),"Corneal infection [MONDO:0023865]                    ")</f>
        <v>Corneal infection [MONDO:0023865]                    </v>
      </c>
      <c r="C532" s="29" t="str">
        <f>IFERROR(__xludf.DUMMYFUNCTION("""COMPUTED_VALUE"""),"MONDO:0023865")</f>
        <v>MONDO:0023865</v>
      </c>
      <c r="D532" s="29" t="str">
        <f>IFERROR(__xludf.DUMMYFUNCTION("""COMPUTED_VALUE"""),"A viral or bacterial infectious process affecting the cornea. Symptoms include pain and redness in the eye, photophobia and eye watering.")</f>
        <v>A viral or bacterial infectious process affecting the cornea. Symptoms include pain and redness in the eye, photophobia and eye watering.</v>
      </c>
      <c r="E532" s="29"/>
      <c r="F532" s="29"/>
      <c r="G532" s="29"/>
      <c r="H532" s="56" t="s">
        <v>19</v>
      </c>
      <c r="I532" s="56" t="s">
        <v>19</v>
      </c>
      <c r="J532" s="56" t="s">
        <v>19</v>
      </c>
      <c r="K532" s="55" t="str">
        <f t="shared" si="38"/>
        <v>International</v>
      </c>
      <c r="M532" s="40"/>
    </row>
    <row r="533" hidden="1">
      <c r="A533" s="29"/>
      <c r="B533" s="53" t="str">
        <f>IFERROR(__xludf.DUMMYFUNCTION("""COMPUTED_VALUE"""),"Delayed wound healing (lesion healing) [MP:0002908]                    ")</f>
        <v>Delayed wound healing (lesion healing) [MP:0002908]                    </v>
      </c>
      <c r="C533" s="29" t="str">
        <f>IFERROR(__xludf.DUMMYFUNCTION("""COMPUTED_VALUE"""),"MP:0002908")</f>
        <v>MP:0002908</v>
      </c>
      <c r="D533" s="29" t="str">
        <f>IFERROR(__xludf.DUMMYFUNCTION("""COMPUTED_VALUE"""),"Longer time requirement for the ability to self-repair and close wounds than normal")</f>
        <v>Longer time requirement for the ability to self-repair and close wounds than normal</v>
      </c>
      <c r="E533" s="29"/>
      <c r="F533" s="29"/>
      <c r="G533" s="29"/>
      <c r="H533" s="56" t="s">
        <v>19</v>
      </c>
      <c r="I533" s="56" t="s">
        <v>19</v>
      </c>
      <c r="J533" s="56" t="s">
        <v>19</v>
      </c>
      <c r="K533" s="55" t="str">
        <f t="shared" si="38"/>
        <v>International</v>
      </c>
      <c r="M533" s="40"/>
    </row>
    <row r="534" hidden="1">
      <c r="A534" s="34"/>
      <c r="B534" s="53" t="str">
        <f>IFERROR(__xludf.DUMMYFUNCTION("""COMPUTED_VALUE"""),"Encephalitis [DOID:9588]                    ")</f>
        <v>Encephalitis [DOID:9588]                    </v>
      </c>
      <c r="C534" s="34" t="str">
        <f>IFERROR(__xludf.DUMMYFUNCTION("""COMPUTED_VALUE"""),"DOID:9588")</f>
        <v>DOID:9588</v>
      </c>
      <c r="D534" s="29" t="str">
        <f>IFERROR(__xludf.DUMMYFUNCTION("""COMPUTED_VALUE"""),"A brain disease that is characterized as an acute inflammation of the brain with flu-like symptoms.")</f>
        <v>A brain disease that is characterized as an acute inflammation of the brain with flu-like symptoms.</v>
      </c>
      <c r="K534" s="55" t="str">
        <f t="shared" si="38"/>
        <v>International</v>
      </c>
      <c r="M534" s="40"/>
    </row>
    <row r="535" hidden="1">
      <c r="A535" s="34"/>
      <c r="B535" s="53" t="str">
        <f>IFERROR(__xludf.DUMMYFUNCTION("""COMPUTED_VALUE"""),"Myocarditis [DOID:820]                    ")</f>
        <v>Myocarditis [DOID:820]                    </v>
      </c>
      <c r="C535" s="34" t="str">
        <f>IFERROR(__xludf.DUMMYFUNCTION("""COMPUTED_VALUE"""),"DOID:820")</f>
        <v>DOID:820</v>
      </c>
      <c r="D535" s="29" t="str">
        <f>IFERROR(__xludf.DUMMYFUNCTION("""COMPUTED_VALUE"""),"An extrinsic cardiomyopathy that is characterized as an inflammation of the heart muscle.")</f>
        <v>An extrinsic cardiomyopathy that is characterized as an inflammation of the heart muscle.</v>
      </c>
      <c r="H535" s="55" t="s">
        <v>19</v>
      </c>
      <c r="I535" s="55" t="s">
        <v>19</v>
      </c>
      <c r="J535" s="55" t="s">
        <v>19</v>
      </c>
      <c r="K535" s="55" t="str">
        <f t="shared" si="38"/>
        <v>International</v>
      </c>
      <c r="M535" s="40"/>
    </row>
    <row r="536" hidden="1">
      <c r="A536" s="34"/>
      <c r="B536" s="53" t="str">
        <f>IFERROR(__xludf.DUMMYFUNCTION("""COMPUTED_VALUE"""),"Secondary infection [IDO:0000567]                    ")</f>
        <v>Secondary infection [IDO:0000567]                    </v>
      </c>
      <c r="C536" s="34" t="str">
        <f>IFERROR(__xludf.DUMMYFUNCTION("""COMPUTED_VALUE"""),"IDO:0000567")</f>
        <v>IDO:0000567</v>
      </c>
      <c r="D536" s="29" t="str">
        <f>IFERROR(__xludf.DUMMYFUNCTION("""COMPUTED_VALUE"""),"An infection bearing the secondary infection role.")</f>
        <v>An infection bearing the secondary infection role.</v>
      </c>
      <c r="H536" s="55" t="s">
        <v>19</v>
      </c>
      <c r="I536" s="55" t="s">
        <v>19</v>
      </c>
      <c r="J536" s="55" t="s">
        <v>19</v>
      </c>
      <c r="K536" s="55" t="str">
        <f t="shared" si="38"/>
        <v>International</v>
      </c>
      <c r="M536" s="40"/>
    </row>
    <row r="537" hidden="1">
      <c r="A537" s="34"/>
      <c r="B537" s="53" t="str">
        <f>IFERROR(__xludf.DUMMYFUNCTION("""COMPUTED_VALUE"""),"Sepsis [HP:0100806]                    ")</f>
        <v>Sepsis [HP:0100806]                    </v>
      </c>
      <c r="C537" s="34" t="str">
        <f>IFERROR(__xludf.DUMMYFUNCTION("""COMPUTED_VALUE"""),"HP:0100806")</f>
        <v>HP:0100806</v>
      </c>
      <c r="D537" s="29" t="str">
        <f>IFERROR(__xludf.DUMMYFUNCTION("""COMPUTED_VALUE"""),"Systemic inflammatory response to infection.")</f>
        <v>Systemic inflammatory response to infection.</v>
      </c>
      <c r="H537" s="55" t="s">
        <v>19</v>
      </c>
      <c r="I537" s="55" t="s">
        <v>19</v>
      </c>
      <c r="J537" s="55" t="s">
        <v>19</v>
      </c>
      <c r="K537" s="55" t="str">
        <f t="shared" si="38"/>
        <v>International</v>
      </c>
      <c r="M537" s="40"/>
    </row>
    <row r="538">
      <c r="A538" s="34" t="str">
        <f>IFERROR(__xludf.DUMMYFUNCTION("""COMPUTED_VALUE"""),"host vaccination status menu")</f>
        <v>host vaccination status menu</v>
      </c>
      <c r="B538" s="53" t="str">
        <f>IFERROR(__xludf.DUMMYFUNCTION("""COMPUTED_VALUE"""),"                    ")</f>
        <v>                    </v>
      </c>
      <c r="C538" s="34"/>
      <c r="D538" s="29" t="str">
        <f>IFERROR(__xludf.DUMMYFUNCTION("""COMPUTED_VALUE"""),"")</f>
        <v/>
      </c>
      <c r="E538" s="34"/>
      <c r="F538" s="34"/>
      <c r="G538" s="34"/>
      <c r="H538" s="55"/>
      <c r="I538" s="55"/>
      <c r="J538" s="55"/>
      <c r="K538" s="55" t="s">
        <v>26</v>
      </c>
      <c r="L538" s="34" t="str">
        <f>LEFT(A538, LEN(A538) - 5)
</f>
        <v>host vaccination status</v>
      </c>
      <c r="M538" s="34" t="str">
        <f>VLOOKUP(L538,'Field Reference Guide'!$B$6:$N$220,13,false)</f>
        <v>Mpox</v>
      </c>
    </row>
    <row r="539">
      <c r="A539" s="34"/>
      <c r="B539" s="53" t="str">
        <f>IFERROR(__xludf.DUMMYFUNCTION("""COMPUTED_VALUE"""),"Fully Vaccinated                    ")</f>
        <v>Fully Vaccinated                    </v>
      </c>
      <c r="C539" s="34" t="str">
        <f>IFERROR(__xludf.DUMMYFUNCTION("""COMPUTED_VALUE"""),"GENEPIO:0100100")</f>
        <v>GENEPIO:0100100</v>
      </c>
      <c r="D539" s="29" t="str">
        <f>IFERROR(__xludf.DUMMYFUNCTION("""COMPUTED_VALUE"""),"Completed a full series of an authorized vaccine according to the regional health institutional guidance.")</f>
        <v>Completed a full series of an authorized vaccine according to the regional health institutional guidance.</v>
      </c>
      <c r="H539" s="55" t="s">
        <v>19</v>
      </c>
      <c r="I539" s="55" t="s">
        <v>19</v>
      </c>
      <c r="J539" s="55" t="s">
        <v>19</v>
      </c>
      <c r="K539" s="55" t="str">
        <f t="shared" ref="K539:K540" si="39">K538</f>
        <v>Mpox</v>
      </c>
      <c r="M539" s="57" t="s">
        <v>26</v>
      </c>
    </row>
    <row r="540">
      <c r="A540" s="34"/>
      <c r="B540" s="53" t="str">
        <f>IFERROR(__xludf.DUMMYFUNCTION("""COMPUTED_VALUE"""),"Not Vaccinated                    ")</f>
        <v>Not Vaccinated                    </v>
      </c>
      <c r="C540" s="34" t="str">
        <f>IFERROR(__xludf.DUMMYFUNCTION("""COMPUTED_VALUE"""),"GENEPIO:0100102")</f>
        <v>GENEPIO:0100102</v>
      </c>
      <c r="D540"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H540" s="55" t="s">
        <v>19</v>
      </c>
      <c r="I540" s="55" t="s">
        <v>19</v>
      </c>
      <c r="J540" s="55" t="s">
        <v>19</v>
      </c>
      <c r="K540" s="55" t="str">
        <f t="shared" si="39"/>
        <v>Mpox</v>
      </c>
      <c r="M540" s="40"/>
    </row>
    <row r="541" hidden="1">
      <c r="A541" s="34" t="str">
        <f>IFERROR(__xludf.DUMMYFUNCTION("""COMPUTED_VALUE"""),"host vaccination status international menu")</f>
        <v>host vaccination status international menu</v>
      </c>
      <c r="B541" s="53" t="str">
        <f>IFERROR(__xludf.DUMMYFUNCTION("""COMPUTED_VALUE"""),"                    ")</f>
        <v>                    </v>
      </c>
      <c r="C541" s="34"/>
      <c r="D541" s="29" t="str">
        <f>IFERROR(__xludf.DUMMYFUNCTION("""COMPUTED_VALUE"""),"")</f>
        <v/>
      </c>
      <c r="E541" s="34"/>
      <c r="F541" s="34"/>
      <c r="G541" s="34"/>
      <c r="H541" s="55"/>
      <c r="I541" s="55"/>
      <c r="J541" s="55"/>
      <c r="K541" s="59" t="s">
        <v>27</v>
      </c>
      <c r="L541" s="34" t="str">
        <f>LEFT(A541, LEN(A541) - 5)
</f>
        <v>host vaccination status international</v>
      </c>
      <c r="M541" s="34" t="str">
        <f>VLOOKUP(L541,'Field Reference Guide'!$B$6:$N$220,13,false)</f>
        <v>#N/A</v>
      </c>
    </row>
    <row r="542" hidden="1">
      <c r="A542" s="29"/>
      <c r="B542" s="53" t="str">
        <f>IFERROR(__xludf.DUMMYFUNCTION("""COMPUTED_VALUE"""),"Fully Vaccinated [GENEPIO:0100100]                    ")</f>
        <v>Fully Vaccinated [GENEPIO:0100100]                    </v>
      </c>
      <c r="C542" s="29" t="str">
        <f>IFERROR(__xludf.DUMMYFUNCTION("""COMPUTED_VALUE"""),"GENEPIO:0100100")</f>
        <v>GENEPIO:0100100</v>
      </c>
      <c r="D542" s="29" t="str">
        <f>IFERROR(__xludf.DUMMYFUNCTION("""COMPUTED_VALUE"""),"Completed a full series of an authorized vaccine according to the regional health institutional guidance.")</f>
        <v>Completed a full series of an authorized vaccine according to the regional health institutional guidance.</v>
      </c>
      <c r="E542" s="29"/>
      <c r="F542" s="29"/>
      <c r="G542" s="29"/>
      <c r="H542" s="29"/>
      <c r="I542" s="29"/>
      <c r="J542" s="29"/>
      <c r="K542" s="55" t="str">
        <f t="shared" ref="K542:K543" si="40">K541</f>
        <v>International</v>
      </c>
      <c r="M542" s="57" t="s">
        <v>28</v>
      </c>
    </row>
    <row r="543" hidden="1">
      <c r="A543" s="29"/>
      <c r="B543" s="53" t="str">
        <f>IFERROR(__xludf.DUMMYFUNCTION("""COMPUTED_VALUE"""),"Not Vaccinated [GENEPIO:0100102]                    ")</f>
        <v>Not Vaccinated [GENEPIO:0100102]                    </v>
      </c>
      <c r="C543" s="29" t="str">
        <f>IFERROR(__xludf.DUMMYFUNCTION("""COMPUTED_VALUE"""),"GENEPIO:0100102")</f>
        <v>GENEPIO:0100102</v>
      </c>
      <c r="D543" s="29" t="str">
        <f>IFERROR(__xludf.DUMMYFUNCTION("""COMPUTED_VALUE"""),"Have not completed or initiated a vaccine series authorized and administered according to the regional health institutional guidance.")</f>
        <v>Have not completed or initiated a vaccine series authorized and administered according to the regional health institutional guidance.</v>
      </c>
      <c r="E543" s="29"/>
      <c r="F543" s="29"/>
      <c r="G543" s="29"/>
      <c r="H543" s="56" t="s">
        <v>19</v>
      </c>
      <c r="I543" s="56" t="s">
        <v>19</v>
      </c>
      <c r="J543" s="56" t="s">
        <v>19</v>
      </c>
      <c r="K543" s="55" t="str">
        <f t="shared" si="40"/>
        <v>International</v>
      </c>
      <c r="M543" s="40"/>
    </row>
    <row r="544">
      <c r="A544" s="29" t="str">
        <f>IFERROR(__xludf.DUMMYFUNCTION("""COMPUTED_VALUE"""),"exposure event menu")</f>
        <v>exposure event menu</v>
      </c>
      <c r="B544" s="53" t="str">
        <f>IFERROR(__xludf.DUMMYFUNCTION("""COMPUTED_VALUE"""),"                    ")</f>
        <v>                    </v>
      </c>
      <c r="C544" s="29"/>
      <c r="D544" s="29" t="str">
        <f>IFERROR(__xludf.DUMMYFUNCTION("""COMPUTED_VALUE"""),"")</f>
        <v/>
      </c>
      <c r="E544" s="29"/>
      <c r="F544" s="29"/>
      <c r="G544" s="29"/>
      <c r="H544" s="56"/>
      <c r="I544" s="56"/>
      <c r="J544" s="56"/>
      <c r="K544" s="35" t="s">
        <v>29</v>
      </c>
      <c r="L544" s="34" t="str">
        <f>LEFT(A544, LEN(A544) - 5)
</f>
        <v>exposure event</v>
      </c>
      <c r="M544" s="34" t="str">
        <f>VLOOKUP(L544,'Field Reference Guide'!$B$6:$N$220,13,false)</f>
        <v>Mpox</v>
      </c>
    </row>
    <row r="545">
      <c r="A545" s="29"/>
      <c r="B545" s="53" t="str">
        <f>IFERROR(__xludf.DUMMYFUNCTION("""COMPUTED_VALUE"""),"Mass Gathering                    ")</f>
        <v>Mass Gathering                    </v>
      </c>
      <c r="C545" s="29" t="str">
        <f>IFERROR(__xludf.DUMMYFUNCTION("""COMPUTED_VALUE"""),"GENEPIO:0100237")</f>
        <v>GENEPIO:0100237</v>
      </c>
      <c r="D545"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E545" s="29"/>
      <c r="F545" s="29"/>
      <c r="G545" s="29"/>
      <c r="H545" s="56" t="s">
        <v>19</v>
      </c>
      <c r="I545" s="56" t="s">
        <v>19</v>
      </c>
      <c r="J545" s="56" t="s">
        <v>19</v>
      </c>
      <c r="K545" s="55" t="str">
        <f t="shared" ref="K545:K551" si="41">K544</f>
        <v>MPox</v>
      </c>
      <c r="M545" s="57" t="s">
        <v>26</v>
      </c>
    </row>
    <row r="546">
      <c r="A546" s="29"/>
      <c r="B546" s="53" t="str">
        <f>IFERROR(__xludf.DUMMYFUNCTION("""COMPUTED_VALUE"""),"Convention (conference)                    ")</f>
        <v>Convention (conference)                    </v>
      </c>
      <c r="C546" s="29" t="str">
        <f>IFERROR(__xludf.DUMMYFUNCTION("""COMPUTED_VALUE"""),"GENEPIO:0100238")</f>
        <v>GENEPIO:0100238</v>
      </c>
      <c r="D546"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E546" s="29"/>
      <c r="F546" s="29"/>
      <c r="G546" s="29"/>
      <c r="H546" s="56" t="s">
        <v>19</v>
      </c>
      <c r="I546" s="56" t="s">
        <v>19</v>
      </c>
      <c r="J546" s="56" t="s">
        <v>19</v>
      </c>
      <c r="K546" s="55" t="str">
        <f t="shared" si="41"/>
        <v>MPox</v>
      </c>
      <c r="M546" s="40"/>
    </row>
    <row r="547">
      <c r="A547" s="29"/>
      <c r="B547" s="53" t="str">
        <f>IFERROR(__xludf.DUMMYFUNCTION("""COMPUTED_VALUE"""),"     Agricultural Event               ")</f>
        <v>     Agricultural Event               </v>
      </c>
      <c r="C547" s="29" t="str">
        <f>IFERROR(__xludf.DUMMYFUNCTION("""COMPUTED_VALUE"""),"GENEPIO:0100240")</f>
        <v>GENEPIO:0100240</v>
      </c>
      <c r="D547"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E547" s="29"/>
      <c r="F547" s="29"/>
      <c r="G547" s="29"/>
      <c r="H547" s="56" t="s">
        <v>19</v>
      </c>
      <c r="I547" s="56" t="s">
        <v>19</v>
      </c>
      <c r="J547" s="56" t="s">
        <v>19</v>
      </c>
      <c r="K547" s="55" t="str">
        <f t="shared" si="41"/>
        <v>MPox</v>
      </c>
      <c r="M547" s="40"/>
    </row>
    <row r="548">
      <c r="A548" s="29"/>
      <c r="B548" s="53" t="str">
        <f>IFERROR(__xludf.DUMMYFUNCTION("""COMPUTED_VALUE"""),"Social Gathering                    ")</f>
        <v>Social Gathering                    </v>
      </c>
      <c r="C548" s="29" t="str">
        <f>IFERROR(__xludf.DUMMYFUNCTION("""COMPUTED_VALUE"""),"PCO:0000033")</f>
        <v>PCO:0000033</v>
      </c>
      <c r="D548"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E548" s="29"/>
      <c r="F548" s="29"/>
      <c r="G548" s="29"/>
      <c r="H548" s="56" t="s">
        <v>19</v>
      </c>
      <c r="I548" s="56" t="s">
        <v>19</v>
      </c>
      <c r="J548" s="56" t="s">
        <v>19</v>
      </c>
      <c r="K548" s="55" t="str">
        <f t="shared" si="41"/>
        <v>MPox</v>
      </c>
      <c r="M548" s="40"/>
    </row>
    <row r="549">
      <c r="A549" s="29"/>
      <c r="B549" s="53" t="str">
        <f>IFERROR(__xludf.DUMMYFUNCTION("""COMPUTED_VALUE"""),"     Community Event               ")</f>
        <v>     Community Event               </v>
      </c>
      <c r="C549" s="29" t="str">
        <f>IFERROR(__xludf.DUMMYFUNCTION("""COMPUTED_VALUE"""),"PCO:0000034")</f>
        <v>PCO:0000034</v>
      </c>
      <c r="D549"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E549" s="29"/>
      <c r="F549" s="29"/>
      <c r="G549" s="29"/>
      <c r="H549" s="56" t="s">
        <v>19</v>
      </c>
      <c r="I549" s="56" t="s">
        <v>19</v>
      </c>
      <c r="J549" s="56" t="s">
        <v>19</v>
      </c>
      <c r="K549" s="55" t="str">
        <f t="shared" si="41"/>
        <v>MPox</v>
      </c>
      <c r="M549" s="40"/>
    </row>
    <row r="550">
      <c r="A550" s="29"/>
      <c r="B550" s="53" t="str">
        <f>IFERROR(__xludf.DUMMYFUNCTION("""COMPUTED_VALUE"""),"     Party               ")</f>
        <v>     Party               </v>
      </c>
      <c r="C550" s="29" t="str">
        <f>IFERROR(__xludf.DUMMYFUNCTION("""COMPUTED_VALUE"""),"PCO:0000035")</f>
        <v>PCO:0000035</v>
      </c>
      <c r="D550"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E550" s="29"/>
      <c r="F550" s="29"/>
      <c r="G550" s="29"/>
      <c r="H550" s="29"/>
      <c r="I550" s="29"/>
      <c r="J550" s="29"/>
      <c r="K550" s="55" t="str">
        <f t="shared" si="41"/>
        <v>MPox</v>
      </c>
      <c r="M550" s="40"/>
    </row>
    <row r="551">
      <c r="A551" s="34"/>
      <c r="B551" s="53" t="str">
        <f>IFERROR(__xludf.DUMMYFUNCTION("""COMPUTED_VALUE"""),"Other exposure event                    ")</f>
        <v>Other exposure event                    </v>
      </c>
      <c r="C551" s="34"/>
      <c r="D551" s="29" t="str">
        <f>IFERROR(__xludf.DUMMYFUNCTION("""COMPUTED_VALUE"""),"")</f>
        <v/>
      </c>
      <c r="K551" s="55" t="str">
        <f t="shared" si="41"/>
        <v>MPox</v>
      </c>
      <c r="M551" s="40"/>
    </row>
    <row r="552" hidden="1">
      <c r="A552" s="34" t="str">
        <f>IFERROR(__xludf.DUMMYFUNCTION("""COMPUTED_VALUE"""),"exposure event international menu")</f>
        <v>exposure event international menu</v>
      </c>
      <c r="B552" s="53" t="str">
        <f>IFERROR(__xludf.DUMMYFUNCTION("""COMPUTED_VALUE"""),"                    ")</f>
        <v>                    </v>
      </c>
      <c r="C552" s="34"/>
      <c r="D552" s="29" t="str">
        <f>IFERROR(__xludf.DUMMYFUNCTION("""COMPUTED_VALUE"""),"")</f>
        <v/>
      </c>
      <c r="E552" s="34"/>
      <c r="F552" s="34"/>
      <c r="G552" s="34"/>
      <c r="H552" s="55"/>
      <c r="I552" s="55"/>
      <c r="J552" s="55"/>
      <c r="K552" s="59" t="s">
        <v>27</v>
      </c>
      <c r="L552" s="34" t="str">
        <f>LEFT(A552, LEN(A552) - 5)
</f>
        <v>exposure event international</v>
      </c>
      <c r="M552" s="34" t="str">
        <f>VLOOKUP(L552,'Field Reference Guide'!$B$6:$N$220,13,false)</f>
        <v>#N/A</v>
      </c>
    </row>
    <row r="553" hidden="1">
      <c r="A553" s="34"/>
      <c r="B553" s="53" t="str">
        <f>IFERROR(__xludf.DUMMYFUNCTION("""COMPUTED_VALUE"""),"Mass Gathering [GENEPIO:0100237]                    ")</f>
        <v>Mass Gathering [GENEPIO:0100237]                    </v>
      </c>
      <c r="C553" s="34" t="str">
        <f>IFERROR(__xludf.DUMMYFUNCTION("""COMPUTED_VALUE"""),"GENEPIO:0100237")</f>
        <v>GENEPIO:0100237</v>
      </c>
      <c r="D553" s="29" t="str">
        <f>IFERROR(__xludf.DUMMYFUNCTION("""COMPUTED_VALUE"""),"A gathering or event attended by a sufficient number of people to strain the planning and response resources of the host community, state/province, nation, or region where it is being held.")</f>
        <v>A gathering or event attended by a sufficient number of people to strain the planning and response resources of the host community, state/province, nation, or region where it is being held.</v>
      </c>
      <c r="H553" s="55" t="s">
        <v>19</v>
      </c>
      <c r="I553" s="55" t="s">
        <v>19</v>
      </c>
      <c r="J553" s="55" t="s">
        <v>19</v>
      </c>
      <c r="K553" s="55" t="str">
        <f t="shared" ref="K553:K560" si="42">K552</f>
        <v>International</v>
      </c>
      <c r="M553" s="57" t="s">
        <v>28</v>
      </c>
    </row>
    <row r="554" hidden="1">
      <c r="A554" s="34"/>
      <c r="B554" s="53" t="str">
        <f>IFERROR(__xludf.DUMMYFUNCTION("""COMPUTED_VALUE"""),"Convention (conference) [GENEPIO:0100238]                    ")</f>
        <v>Convention (conference) [GENEPIO:0100238]                    </v>
      </c>
      <c r="C554" s="34" t="str">
        <f>IFERROR(__xludf.DUMMYFUNCTION("""COMPUTED_VALUE"""),"GENEPIO:0100238")</f>
        <v>GENEPIO:0100238</v>
      </c>
      <c r="D554" s="29" t="str">
        <f>IFERROR(__xludf.DUMMYFUNCTION("""COMPUTED_VALUE"""),"A gathering of individuals who meet at an arranged place and time in order to discuss or engage in some common interest. The most common conventions are based upon industry, profession, and fandom.")</f>
        <v>A gathering of individuals who meet at an arranged place and time in order to discuss or engage in some common interest. The most common conventions are based upon industry, profession, and fandom.</v>
      </c>
      <c r="H554" s="55" t="s">
        <v>19</v>
      </c>
      <c r="I554" s="55" t="s">
        <v>19</v>
      </c>
      <c r="J554" s="55" t="s">
        <v>19</v>
      </c>
      <c r="K554" s="55" t="str">
        <f t="shared" si="42"/>
        <v>International</v>
      </c>
      <c r="M554" s="40"/>
    </row>
    <row r="555" hidden="1">
      <c r="A555" s="34"/>
      <c r="B555" s="53" t="str">
        <f>IFERROR(__xludf.DUMMYFUNCTION("""COMPUTED_VALUE"""),"     Agricultural Event [GENEPIO:0100240]               ")</f>
        <v>     Agricultural Event [GENEPIO:0100240]               </v>
      </c>
      <c r="C555" s="34" t="str">
        <f>IFERROR(__xludf.DUMMYFUNCTION("""COMPUTED_VALUE"""),"GENEPIO:0100240")</f>
        <v>GENEPIO:0100240</v>
      </c>
      <c r="D555" s="29" t="str">
        <f>IFERROR(__xludf.DUMMYFUNCTION("""COMPUTED_VALUE"""),"A gathering exhibiting the equipment, animals, sports and recreation associated with agriculture and animal husbandry.")</f>
        <v>A gathering exhibiting the equipment, animals, sports and recreation associated with agriculture and animal husbandry.</v>
      </c>
      <c r="H555" s="55" t="s">
        <v>19</v>
      </c>
      <c r="I555" s="55" t="s">
        <v>19</v>
      </c>
      <c r="J555" s="55" t="s">
        <v>19</v>
      </c>
      <c r="K555" s="55" t="str">
        <f t="shared" si="42"/>
        <v>International</v>
      </c>
      <c r="M555" s="40"/>
    </row>
    <row r="556" hidden="1">
      <c r="A556" s="34"/>
      <c r="B556" s="53" t="str">
        <f>IFERROR(__xludf.DUMMYFUNCTION("""COMPUTED_VALUE"""),"Social Gathering [PCO:0000033]                    ")</f>
        <v>Social Gathering [PCO:0000033]                    </v>
      </c>
      <c r="C556" s="34" t="str">
        <f>IFERROR(__xludf.DUMMYFUNCTION("""COMPUTED_VALUE"""),"PCO:0000033")</f>
        <v>PCO:0000033</v>
      </c>
      <c r="D556" s="29" t="str">
        <f>IFERROR(__xludf.DUMMYFUNCTION("""COMPUTED_VALUE"""),"A type of social behavior in which a collection of humans intentionally gathers together on a temporary basis to engage socially.")</f>
        <v>A type of social behavior in which a collection of humans intentionally gathers together on a temporary basis to engage socially.</v>
      </c>
      <c r="H556" s="55" t="s">
        <v>19</v>
      </c>
      <c r="I556" s="55" t="s">
        <v>19</v>
      </c>
      <c r="J556" s="55" t="s">
        <v>19</v>
      </c>
      <c r="K556" s="55" t="str">
        <f t="shared" si="42"/>
        <v>International</v>
      </c>
      <c r="M556" s="40"/>
    </row>
    <row r="557" hidden="1">
      <c r="A557" s="34"/>
      <c r="B557" s="53" t="str">
        <f>IFERROR(__xludf.DUMMYFUNCTION("""COMPUTED_VALUE"""),"     Community Event [PCO:0000034]               ")</f>
        <v>     Community Event [PCO:0000034]               </v>
      </c>
      <c r="C557" s="34" t="str">
        <f>IFERROR(__xludf.DUMMYFUNCTION("""COMPUTED_VALUE"""),"PCO:0000034")</f>
        <v>PCO:0000034</v>
      </c>
      <c r="D557" s="29" t="str">
        <f>IFERROR(__xludf.DUMMYFUNCTION("""COMPUTED_VALUE"""),"A human social event in which humans living in the same area or neighborhood gather to carry out activiites relevent to the people living in the area.")</f>
        <v>A human social event in which humans living in the same area or neighborhood gather to carry out activiites relevent to the people living in the area.</v>
      </c>
      <c r="H557" s="55" t="s">
        <v>19</v>
      </c>
      <c r="I557" s="55" t="s">
        <v>19</v>
      </c>
      <c r="J557" s="55" t="s">
        <v>19</v>
      </c>
      <c r="K557" s="55" t="str">
        <f t="shared" si="42"/>
        <v>International</v>
      </c>
      <c r="M557" s="40"/>
    </row>
    <row r="558" hidden="1">
      <c r="A558" s="34"/>
      <c r="B558" s="53" t="str">
        <f>IFERROR(__xludf.DUMMYFUNCTION("""COMPUTED_VALUE"""),"     Party [PCO:0000035]               ")</f>
        <v>     Party [PCO:0000035]               </v>
      </c>
      <c r="C558" s="34" t="str">
        <f>IFERROR(__xludf.DUMMYFUNCTION("""COMPUTED_VALUE"""),"PCO:0000035")</f>
        <v>PCO:0000035</v>
      </c>
      <c r="D558" s="29" t="str">
        <f>IFERROR(__xludf.DUMMYFUNCTION("""COMPUTED_VALUE"""),"A human social gathering in which the intention is to have a good time. Often the intention is to celebrate something like a birthday, anniversary, or holiday, but there is not always a purpose.")</f>
        <v>A human social gathering in which the intention is to have a good time. Often the intention is to celebrate something like a birthday, anniversary, or holiday, but there is not always a purpose.</v>
      </c>
      <c r="H558" s="55" t="s">
        <v>19</v>
      </c>
      <c r="I558" s="55" t="s">
        <v>19</v>
      </c>
      <c r="J558" s="55" t="s">
        <v>19</v>
      </c>
      <c r="K558" s="55" t="str">
        <f t="shared" si="42"/>
        <v>International</v>
      </c>
      <c r="M558" s="40"/>
    </row>
    <row r="559" hidden="1">
      <c r="A559" s="34"/>
      <c r="B559" s="53" t="str">
        <f>IFERROR(__xludf.DUMMYFUNCTION("""COMPUTED_VALUE"""),"Other exposure event                    ")</f>
        <v>Other exposure event                    </v>
      </c>
      <c r="C559" s="34"/>
      <c r="D559" s="29" t="str">
        <f>IFERROR(__xludf.DUMMYFUNCTION("""COMPUTED_VALUE"""),"An exposure event not specified in the picklist.")</f>
        <v>An exposure event not specified in the picklist.</v>
      </c>
      <c r="H559" s="55" t="s">
        <v>19</v>
      </c>
      <c r="I559" s="55" t="s">
        <v>19</v>
      </c>
      <c r="J559" s="55" t="s">
        <v>19</v>
      </c>
      <c r="K559" s="55" t="str">
        <f t="shared" si="42"/>
        <v>International</v>
      </c>
      <c r="M559" s="40"/>
    </row>
    <row r="560" hidden="1">
      <c r="A560" s="34"/>
      <c r="B560" s="53" t="str">
        <f>IFERROR(__xludf.DUMMYFUNCTION("""COMPUTED_VALUE"""),"                    ")</f>
        <v>                    </v>
      </c>
      <c r="C560" s="34"/>
      <c r="D560" s="29" t="str">
        <f>IFERROR(__xludf.DUMMYFUNCTION("""COMPUTED_VALUE"""),"")</f>
        <v/>
      </c>
      <c r="H560" s="55" t="s">
        <v>19</v>
      </c>
      <c r="I560" s="55" t="s">
        <v>19</v>
      </c>
      <c r="J560" s="55" t="s">
        <v>19</v>
      </c>
      <c r="K560" s="55" t="str">
        <f t="shared" si="42"/>
        <v>International</v>
      </c>
      <c r="M560" s="58"/>
    </row>
    <row r="561">
      <c r="A561" s="34" t="str">
        <f>IFERROR(__xludf.DUMMYFUNCTION("""COMPUTED_VALUE"""),"exposure contact level menu")</f>
        <v>exposure contact level menu</v>
      </c>
      <c r="B561" s="53" t="str">
        <f>IFERROR(__xludf.DUMMYFUNCTION("""COMPUTED_VALUE"""),"                    ")</f>
        <v>                    </v>
      </c>
      <c r="C561" s="34"/>
      <c r="D561" s="29" t="str">
        <f>IFERROR(__xludf.DUMMYFUNCTION("""COMPUTED_VALUE"""),"")</f>
        <v/>
      </c>
      <c r="E561" s="34"/>
      <c r="F561" s="34"/>
      <c r="G561" s="34"/>
      <c r="H561" s="55"/>
      <c r="I561" s="55"/>
      <c r="J561" s="55"/>
      <c r="K561" s="55" t="s">
        <v>26</v>
      </c>
      <c r="L561" s="34" t="str">
        <f>LEFT(A561, LEN(A561) - 5)
</f>
        <v>exposure contact level</v>
      </c>
      <c r="M561" s="34" t="str">
        <f>VLOOKUP(L561,'Field Reference Guide'!$B$6:$N$220,13,false)</f>
        <v>Mpox</v>
      </c>
    </row>
    <row r="562">
      <c r="A562" s="34"/>
      <c r="B562" s="53" t="str">
        <f>IFERROR(__xludf.DUMMYFUNCTION("""COMPUTED_VALUE"""),"Contact with animal                    ")</f>
        <v>Contact with animal                    </v>
      </c>
      <c r="C562" s="34" t="str">
        <f>IFERROR(__xludf.DUMMYFUNCTION("""COMPUTED_VALUE"""),"GENEPIO:0100494")</f>
        <v>GENEPIO:0100494</v>
      </c>
      <c r="D562" s="29" t="str">
        <f>IFERROR(__xludf.DUMMYFUNCTION("""COMPUTED_VALUE"""),"A type of contact in which an individual comes into contact with an animal, either directly or indirectly, which could include physical interaction or exposure to animal bodily fluids, feces, or other contaminated materials.")</f>
        <v>A type of contact in which an individual comes into contact with an animal, either directly or indirectly, which could include physical interaction or exposure to animal bodily fluids, feces, or other contaminated materials.</v>
      </c>
      <c r="H562" s="55" t="s">
        <v>19</v>
      </c>
      <c r="I562" s="55" t="s">
        <v>19</v>
      </c>
      <c r="J562" s="55" t="s">
        <v>19</v>
      </c>
      <c r="K562" s="55" t="str">
        <f t="shared" ref="K562:K574" si="43">K561</f>
        <v>Mpox</v>
      </c>
      <c r="M562" s="57" t="s">
        <v>26</v>
      </c>
    </row>
    <row r="563">
      <c r="A563" s="34"/>
      <c r="B563" s="53" t="str">
        <f>IFERROR(__xludf.DUMMYFUNCTION("""COMPUTED_VALUE"""),"     Contact with rodent               ")</f>
        <v>     Contact with rodent               </v>
      </c>
      <c r="C563" s="34" t="str">
        <f>IFERROR(__xludf.DUMMYFUNCTION("""COMPUTED_VALUE"""),"GENEPIO:0100495")</f>
        <v>GENEPIO:0100495</v>
      </c>
      <c r="D563" s="29" t="str">
        <f>IFERROR(__xludf.DUMMYFUNCTION("""COMPUTED_VALUE"""),"A type of contact in which an individual comes into contact with a rodent, either directly or indirectly, such as through handling, exposure to rodent droppings, urine, or nests, which could potentially lead to the transmission of rodent-borne diseases.")</f>
        <v>A type of contact in which an individual comes into contact with a rodent, either directly or indirectly, such as through handling, exposure to rodent droppings, urine, or nests, which could potentially lead to the transmission of rodent-borne diseases.</v>
      </c>
      <c r="H563" s="55" t="s">
        <v>19</v>
      </c>
      <c r="I563" s="55" t="s">
        <v>19</v>
      </c>
      <c r="J563" s="55" t="s">
        <v>19</v>
      </c>
      <c r="K563" s="55" t="str">
        <f t="shared" si="43"/>
        <v>Mpox</v>
      </c>
      <c r="M563" s="40"/>
    </row>
    <row r="564">
      <c r="A564" s="34"/>
      <c r="B564" s="53" t="str">
        <f>IFERROR(__xludf.DUMMYFUNCTION("""COMPUTED_VALUE"""),"Contact with fomite                    ")</f>
        <v>Contact with fomite                    </v>
      </c>
      <c r="C564" s="34" t="str">
        <f>IFERROR(__xludf.DUMMYFUNCTION("""COMPUTED_VALUE"""),"GENEPIO:0100496")</f>
        <v>GENEPIO:0100496</v>
      </c>
      <c r="D564" s="29" t="str">
        <f>IFERROR(__xludf.DUMMYFUNCTION("""COMPUTED_VALUE"""),"A type of contact in which an individual comes into contact with an inanimate object or surface that has been contaminated with pathogens, such as doorknobs, countertops, or medical equipment, which can transfer infectious agents to the individual.")</f>
        <v>A type of contact in which an individual comes into contact with an inanimate object or surface that has been contaminated with pathogens, such as doorknobs, countertops, or medical equipment, which can transfer infectious agents to the individual.</v>
      </c>
      <c r="H564" s="55" t="s">
        <v>19</v>
      </c>
      <c r="I564" s="55" t="s">
        <v>19</v>
      </c>
      <c r="J564" s="55" t="s">
        <v>19</v>
      </c>
      <c r="K564" s="55" t="str">
        <f t="shared" si="43"/>
        <v>Mpox</v>
      </c>
      <c r="M564" s="40"/>
    </row>
    <row r="565">
      <c r="A565" s="29"/>
      <c r="B565" s="53" t="str">
        <f>IFERROR(__xludf.DUMMYFUNCTION("""COMPUTED_VALUE"""),"Contact with infected individual                    ")</f>
        <v>Contact with infected individual                    </v>
      </c>
      <c r="C565" s="29" t="str">
        <f>IFERROR(__xludf.DUMMYFUNCTION("""COMPUTED_VALUE"""),"GENEPIO:0100357")</f>
        <v>GENEPIO:0100357</v>
      </c>
      <c r="D565"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E565" s="29"/>
      <c r="F565" s="29"/>
      <c r="G565" s="29"/>
      <c r="H565" s="29"/>
      <c r="I565" s="29"/>
      <c r="J565" s="29"/>
      <c r="K565" s="55" t="str">
        <f t="shared" si="43"/>
        <v>Mpox</v>
      </c>
      <c r="M565" s="40"/>
    </row>
    <row r="566">
      <c r="A566" s="29"/>
      <c r="B566" s="53" t="str">
        <f>IFERROR(__xludf.DUMMYFUNCTION("""COMPUTED_VALUE"""),"     Direct (human-to-human contact)               ")</f>
        <v>     Direct (human-to-human contact)               </v>
      </c>
      <c r="C566" s="29" t="str">
        <f>IFERROR(__xludf.DUMMYFUNCTION("""COMPUTED_VALUE"""),"TRANS:0000001")</f>
        <v>TRANS:0000001</v>
      </c>
      <c r="D566"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E566" s="29"/>
      <c r="F566" s="29"/>
      <c r="G566" s="29"/>
      <c r="H566" s="56" t="s">
        <v>19</v>
      </c>
      <c r="I566" s="56" t="s">
        <v>19</v>
      </c>
      <c r="J566" s="56" t="s">
        <v>19</v>
      </c>
      <c r="K566" s="55" t="str">
        <f t="shared" si="43"/>
        <v>Mpox</v>
      </c>
      <c r="M566" s="40"/>
    </row>
    <row r="567">
      <c r="A567" s="29"/>
      <c r="B567" s="53" t="str">
        <f>IFERROR(__xludf.DUMMYFUNCTION("""COMPUTED_VALUE"""),"          Mother-to-child transmission          ")</f>
        <v>          Mother-to-child transmission          </v>
      </c>
      <c r="C567" s="29" t="str">
        <f>IFERROR(__xludf.DUMMYFUNCTION("""COMPUTED_VALUE"""),"TRANS:0000006")</f>
        <v>TRANS:0000006</v>
      </c>
      <c r="D567" s="29" t="str">
        <f>IFERROR(__xludf.DUMMYFUNCTION("""COMPUTED_VALUE"""),"A direct transmission process during which the pathogen is transmitted directly from mother to child at or around the time of birth.")</f>
        <v>A direct transmission process during which the pathogen is transmitted directly from mother to child at or around the time of birth.</v>
      </c>
      <c r="E567" s="29"/>
      <c r="F567" s="29"/>
      <c r="G567" s="29"/>
      <c r="H567" s="56" t="s">
        <v>19</v>
      </c>
      <c r="I567" s="56" t="s">
        <v>19</v>
      </c>
      <c r="J567" s="56" t="s">
        <v>19</v>
      </c>
      <c r="K567" s="55" t="str">
        <f t="shared" si="43"/>
        <v>Mpox</v>
      </c>
      <c r="M567" s="40"/>
    </row>
    <row r="568">
      <c r="A568" s="29"/>
      <c r="B568" s="53" t="str">
        <f>IFERROR(__xludf.DUMMYFUNCTION("""COMPUTED_VALUE"""),"          Sexual transmission          ")</f>
        <v>          Sexual transmission          </v>
      </c>
      <c r="C568" s="29" t="str">
        <f>IFERROR(__xludf.DUMMYFUNCTION("""COMPUTED_VALUE"""),"NCIT:C19085")</f>
        <v>NCIT:C19085</v>
      </c>
      <c r="D568" s="29" t="str">
        <f>IFERROR(__xludf.DUMMYFUNCTION("""COMPUTED_VALUE"""),"Passage or transfer, as of a disease, from a donor individual to a recipient during or as a result of sexual activity.")</f>
        <v>Passage or transfer, as of a disease, from a donor individual to a recipient during or as a result of sexual activity.</v>
      </c>
      <c r="E568" s="29"/>
      <c r="F568" s="29"/>
      <c r="G568" s="29"/>
      <c r="H568" s="56" t="s">
        <v>19</v>
      </c>
      <c r="I568" s="56" t="s">
        <v>19</v>
      </c>
      <c r="J568" s="56" t="s">
        <v>19</v>
      </c>
      <c r="K568" s="55" t="str">
        <f t="shared" si="43"/>
        <v>Mpox</v>
      </c>
      <c r="M568" s="40"/>
    </row>
    <row r="569">
      <c r="A569" s="29"/>
      <c r="B569" s="53" t="str">
        <f>IFERROR(__xludf.DUMMYFUNCTION("""COMPUTED_VALUE"""),"     Indirect contact               ")</f>
        <v>     Indirect contact               </v>
      </c>
      <c r="C569" s="29" t="str">
        <f>IFERROR(__xludf.DUMMYFUNCTION("""COMPUTED_VALUE"""),"GENEPIO:0100246")</f>
        <v>GENEPIO:0100246</v>
      </c>
      <c r="D569"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E569" s="29"/>
      <c r="F569" s="29"/>
      <c r="G569" s="29"/>
      <c r="H569" s="56" t="s">
        <v>19</v>
      </c>
      <c r="I569" s="56" t="s">
        <v>19</v>
      </c>
      <c r="J569" s="56" t="s">
        <v>19</v>
      </c>
      <c r="K569" s="55" t="str">
        <f t="shared" si="43"/>
        <v>Mpox</v>
      </c>
      <c r="M569" s="40"/>
    </row>
    <row r="570">
      <c r="A570" s="29"/>
      <c r="B570" s="53" t="str">
        <f>IFERROR(__xludf.DUMMYFUNCTION("""COMPUTED_VALUE"""),"          Close contact (face-to-face contact)          ")</f>
        <v>          Close contact (face-to-face contact)          </v>
      </c>
      <c r="C570" s="29" t="str">
        <f>IFERROR(__xludf.DUMMYFUNCTION("""COMPUTED_VALUE"""),"GENEPIO:0100247")</f>
        <v>GENEPIO:0100247</v>
      </c>
      <c r="D570"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E570" s="29"/>
      <c r="F570" s="29"/>
      <c r="G570" s="29"/>
      <c r="H570" s="56" t="s">
        <v>19</v>
      </c>
      <c r="I570" s="56" t="s">
        <v>19</v>
      </c>
      <c r="J570" s="56" t="s">
        <v>19</v>
      </c>
      <c r="K570" s="55" t="str">
        <f t="shared" si="43"/>
        <v>Mpox</v>
      </c>
      <c r="M570" s="40"/>
    </row>
    <row r="571">
      <c r="A571" s="29"/>
      <c r="B571" s="53" t="str">
        <f>IFERROR(__xludf.DUMMYFUNCTION("""COMPUTED_VALUE"""),"          Casual contact          ")</f>
        <v>          Casual contact          </v>
      </c>
      <c r="C571" s="29" t="str">
        <f>IFERROR(__xludf.DUMMYFUNCTION("""COMPUTED_VALUE"""),"GENEPIO:0100248")</f>
        <v>GENEPIO:0100248</v>
      </c>
      <c r="D571"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E571" s="29"/>
      <c r="F571" s="29"/>
      <c r="G571" s="29"/>
      <c r="H571" s="56" t="s">
        <v>19</v>
      </c>
      <c r="I571" s="56" t="s">
        <v>19</v>
      </c>
      <c r="J571" s="56" t="s">
        <v>19</v>
      </c>
      <c r="K571" s="55" t="str">
        <f t="shared" si="43"/>
        <v>Mpox</v>
      </c>
      <c r="M571" s="40"/>
    </row>
    <row r="572">
      <c r="A572" s="29"/>
      <c r="B572" s="53" t="str">
        <f>IFERROR(__xludf.DUMMYFUNCTION("""COMPUTED_VALUE"""),"Workplace associated transmission                    ")</f>
        <v>Workplace associated transmission                    </v>
      </c>
      <c r="C572" s="29" t="str">
        <f>IFERROR(__xludf.DUMMYFUNCTION("""COMPUTED_VALUE"""),"GENEPIO:0100497")</f>
        <v>GENEPIO:0100497</v>
      </c>
      <c r="D572" s="29" t="str">
        <f>IFERROR(__xludf.DUMMYFUNCTION("""COMPUTED_VALUE"""),"A type of transmission where an individual acquires an infection or disease as a result of exposure in their workplace environment. This can include direct contact with infected individuals, exposure to contaminated materials or surfaces, or other workpla"&amp;"ce-specific risk factors.")</f>
        <v>A type of transmission where an individual acquires an infection or disease as a result of exposure in their workplace environment. This can include direct contact with infected individuals, exposure to contaminated materials or surfaces, or other workplace-specific risk factors.</v>
      </c>
      <c r="E572" s="29"/>
      <c r="F572" s="29"/>
      <c r="G572" s="29"/>
      <c r="H572" s="56" t="s">
        <v>19</v>
      </c>
      <c r="I572" s="56" t="s">
        <v>19</v>
      </c>
      <c r="J572" s="56" t="s">
        <v>19</v>
      </c>
      <c r="K572" s="55" t="str">
        <f t="shared" si="43"/>
        <v>Mpox</v>
      </c>
      <c r="M572" s="40"/>
    </row>
    <row r="573">
      <c r="A573" s="29"/>
      <c r="B573" s="53" t="str">
        <f>IFERROR(__xludf.DUMMYFUNCTION("""COMPUTED_VALUE"""),"     Healthcare associated transmission               ")</f>
        <v>     Healthcare associated transmission               </v>
      </c>
      <c r="C573" s="29" t="str">
        <f>IFERROR(__xludf.DUMMYFUNCTION("""COMPUTED_VALUE"""),"GENEPIO:0100498")</f>
        <v>GENEPIO:0100498</v>
      </c>
      <c r="D573" s="29" t="str">
        <f>IFERROR(__xludf.DUMMYFUNCTION("""COMPUTED_VALUE"""),"A type of transmission where an individual acquires an infection or disease as a result of exposure within a healthcare setting. This includes transmission through direct contact with patients, contaminated medical equipment, or surfaces within healthcare"&amp;" facilities, such as hospitals or clinics.")</f>
        <v>A type of transmission where an individual acquires an infection or disease as a result of exposure within a healthcare setting. This includes transmission through direct contact with patients, contaminated medical equipment, or surfaces within healthcare facilities, such as hospitals or clinics.</v>
      </c>
      <c r="E573" s="29"/>
      <c r="F573" s="29"/>
      <c r="G573" s="29"/>
      <c r="H573" s="56" t="s">
        <v>19</v>
      </c>
      <c r="I573" s="56" t="s">
        <v>19</v>
      </c>
      <c r="J573" s="56" t="s">
        <v>19</v>
      </c>
      <c r="K573" s="55" t="str">
        <f t="shared" si="43"/>
        <v>Mpox</v>
      </c>
      <c r="M573" s="40"/>
    </row>
    <row r="574">
      <c r="A574" s="29"/>
      <c r="B574" s="53" t="str">
        <f>IFERROR(__xludf.DUMMYFUNCTION("""COMPUTED_VALUE"""),"     Laboratory associated transmission               ")</f>
        <v>     Laboratory associated transmission               </v>
      </c>
      <c r="C574" s="29" t="str">
        <f>IFERROR(__xludf.DUMMYFUNCTION("""COMPUTED_VALUE"""),"GENEPIO:0100499")</f>
        <v>GENEPIO:0100499</v>
      </c>
      <c r="D574" s="29" t="str">
        <f>IFERROR(__xludf.DUMMYFUNCTION("""COMPUTED_VALUE"""),"A type of transmission where an individual acquires an infection or disease as a result of exposure within a laboratory setting. This includes contact with infectious agents, contaminated equipment, or laboratory surfaces, as well as potential aerosol exp"&amp;"osure or spills of hazardous substances.")</f>
        <v>A type of transmission where an individual acquires an infection or disease as a result of exposure within a laboratory setting. This includes contact with infectious agents, contaminated equipment, or laboratory surfaces, as well as potential aerosol exposure or spills of hazardous substances.</v>
      </c>
      <c r="E574" s="29"/>
      <c r="F574" s="29"/>
      <c r="G574" s="29"/>
      <c r="H574" s="56" t="s">
        <v>19</v>
      </c>
      <c r="I574" s="56" t="s">
        <v>19</v>
      </c>
      <c r="J574" s="56" t="s">
        <v>19</v>
      </c>
      <c r="K574" s="55" t="str">
        <f t="shared" si="43"/>
        <v>Mpox</v>
      </c>
      <c r="M574" s="40"/>
    </row>
    <row r="575" hidden="1">
      <c r="A575" s="29" t="str">
        <f>IFERROR(__xludf.DUMMYFUNCTION("""COMPUTED_VALUE"""),"exposure contact level international menu")</f>
        <v>exposure contact level international menu</v>
      </c>
      <c r="B575" s="53" t="str">
        <f>IFERROR(__xludf.DUMMYFUNCTION("""COMPUTED_VALUE"""),"                    ")</f>
        <v>                    </v>
      </c>
      <c r="C575" s="29"/>
      <c r="D575" s="29" t="str">
        <f>IFERROR(__xludf.DUMMYFUNCTION("""COMPUTED_VALUE"""),"")</f>
        <v/>
      </c>
      <c r="E575" s="29"/>
      <c r="F575" s="29"/>
      <c r="G575" s="29"/>
      <c r="H575" s="56"/>
      <c r="I575" s="56"/>
      <c r="J575" s="56"/>
      <c r="K575" s="59" t="s">
        <v>27</v>
      </c>
      <c r="L575" s="34" t="str">
        <f>LEFT(A575, LEN(A575) - 5)
</f>
        <v>exposure contact level international</v>
      </c>
      <c r="M575" s="34" t="str">
        <f>VLOOKUP(L575,'Field Reference Guide'!$B$6:$N$220,13,false)</f>
        <v>#N/A</v>
      </c>
    </row>
    <row r="576" hidden="1">
      <c r="A576" s="29"/>
      <c r="B576" s="53" t="str">
        <f>IFERROR(__xludf.DUMMYFUNCTION("""COMPUTED_VALUE"""),"Contact with animal [GENEPIO:0100494]                    ")</f>
        <v>Contact with animal [GENEPIO:0100494]                    </v>
      </c>
      <c r="C576" s="29" t="str">
        <f>IFERROR(__xludf.DUMMYFUNCTION("""COMPUTED_VALUE"""),"GENEPIO:0100494")</f>
        <v>GENEPIO:0100494</v>
      </c>
      <c r="D576" s="29" t="str">
        <f>IFERROR(__xludf.DUMMYFUNCTION("""COMPUTED_VALUE"""),"A type of contact in which an individual comes into contact with an animal, either directly or indirectly, which could include physical interaction or exposure to animal bodily fluids, feces, or other contaminated materials.")</f>
        <v>A type of contact in which an individual comes into contact with an animal, either directly or indirectly, which could include physical interaction or exposure to animal bodily fluids, feces, or other contaminated materials.</v>
      </c>
      <c r="E576" s="29"/>
      <c r="F576" s="29"/>
      <c r="G576" s="29"/>
      <c r="H576" s="56" t="s">
        <v>19</v>
      </c>
      <c r="I576" s="56" t="s">
        <v>19</v>
      </c>
      <c r="J576" s="56" t="s">
        <v>19</v>
      </c>
      <c r="K576" s="55" t="str">
        <f t="shared" ref="K576:K588" si="44">K575</f>
        <v>International</v>
      </c>
      <c r="M576" s="57" t="s">
        <v>28</v>
      </c>
    </row>
    <row r="577" hidden="1">
      <c r="A577" s="29"/>
      <c r="B577" s="53" t="str">
        <f>IFERROR(__xludf.DUMMYFUNCTION("""COMPUTED_VALUE"""),"     Contact with rodent [GENEPIO:0100495]               ")</f>
        <v>     Contact with rodent [GENEPIO:0100495]               </v>
      </c>
      <c r="C577" s="29" t="str">
        <f>IFERROR(__xludf.DUMMYFUNCTION("""COMPUTED_VALUE"""),"GENEPIO:0100495")</f>
        <v>GENEPIO:0100495</v>
      </c>
      <c r="D577" s="29" t="str">
        <f>IFERROR(__xludf.DUMMYFUNCTION("""COMPUTED_VALUE"""),"A type of contact in which an individual comes into contact with a rodent, either directly or indirectly, such as through handling, exposure to rodent droppings, urine, or nests, which could potentially lead to the transmission of rodent-borne diseases.")</f>
        <v>A type of contact in which an individual comes into contact with a rodent, either directly or indirectly, such as through handling, exposure to rodent droppings, urine, or nests, which could potentially lead to the transmission of rodent-borne diseases.</v>
      </c>
      <c r="E577" s="29"/>
      <c r="F577" s="29"/>
      <c r="G577" s="29"/>
      <c r="H577" s="56" t="s">
        <v>19</v>
      </c>
      <c r="I577" s="56" t="s">
        <v>19</v>
      </c>
      <c r="J577" s="56" t="s">
        <v>19</v>
      </c>
      <c r="K577" s="55" t="str">
        <f t="shared" si="44"/>
        <v>International</v>
      </c>
      <c r="M577" s="40"/>
    </row>
    <row r="578" hidden="1">
      <c r="A578" s="29"/>
      <c r="B578" s="53" t="str">
        <f>IFERROR(__xludf.DUMMYFUNCTION("""COMPUTED_VALUE"""),"Contact with fomite [GENEPIO:0100496]                    ")</f>
        <v>Contact with fomite [GENEPIO:0100496]                    </v>
      </c>
      <c r="C578" s="29" t="str">
        <f>IFERROR(__xludf.DUMMYFUNCTION("""COMPUTED_VALUE"""),"GENEPIO:0100496")</f>
        <v>GENEPIO:0100496</v>
      </c>
      <c r="D578" s="29" t="str">
        <f>IFERROR(__xludf.DUMMYFUNCTION("""COMPUTED_VALUE"""),"A type of contact in which an individual comes into contact with an inanimate object or surface that has been contaminated with pathogens, such as doorknobs, countertops, or medical equipment, which can transfer infectious agents to the individual.")</f>
        <v>A type of contact in which an individual comes into contact with an inanimate object or surface that has been contaminated with pathogens, such as doorknobs, countertops, or medical equipment, which can transfer infectious agents to the individual.</v>
      </c>
      <c r="E578" s="29"/>
      <c r="F578" s="29"/>
      <c r="G578" s="29"/>
      <c r="H578" s="56" t="s">
        <v>19</v>
      </c>
      <c r="I578" s="56" t="s">
        <v>19</v>
      </c>
      <c r="J578" s="56" t="s">
        <v>19</v>
      </c>
      <c r="K578" s="55" t="str">
        <f t="shared" si="44"/>
        <v>International</v>
      </c>
      <c r="M578" s="40"/>
    </row>
    <row r="579" hidden="1">
      <c r="A579" s="34"/>
      <c r="B579" s="53" t="str">
        <f>IFERROR(__xludf.DUMMYFUNCTION("""COMPUTED_VALUE"""),"Contact with infected individual [GENEPIO:0100357]                    ")</f>
        <v>Contact with infected individual [GENEPIO:0100357]                    </v>
      </c>
      <c r="C579" s="34" t="str">
        <f>IFERROR(__xludf.DUMMYFUNCTION("""COMPUTED_VALUE"""),"GENEPIO:0100357")</f>
        <v>GENEPIO:0100357</v>
      </c>
      <c r="D579" s="29" t="str">
        <f>IFERROR(__xludf.DUMMYFUNCTION("""COMPUTED_VALUE"""),"A type of contact in which an individual comes in contact with an infected person, either directly or indirectly.")</f>
        <v>A type of contact in which an individual comes in contact with an infected person, either directly or indirectly.</v>
      </c>
      <c r="K579" s="55" t="str">
        <f t="shared" si="44"/>
        <v>International</v>
      </c>
      <c r="M579" s="40"/>
    </row>
    <row r="580" hidden="1">
      <c r="A580" s="34"/>
      <c r="B580" s="53" t="str">
        <f>IFERROR(__xludf.DUMMYFUNCTION("""COMPUTED_VALUE"""),"     Direct (human-to-human contact) [TRANS:0000001]               ")</f>
        <v>     Direct (human-to-human contact) [TRANS:0000001]               </v>
      </c>
      <c r="C580" s="34" t="str">
        <f>IFERROR(__xludf.DUMMYFUNCTION("""COMPUTED_VALUE"""),"TRANS:0000001")</f>
        <v>TRANS:0000001</v>
      </c>
      <c r="D580" s="29" t="str">
        <f>IFERROR(__xludf.DUMMYFUNCTION("""COMPUTED_VALUE"""),"Direct and essentially immediate transfer of infectious agents to a receptive portal of entry through which human or animal infection may take place. This may be by direct contact such as touching, kissing, biting, or sexual intercourse or by the direct p"&amp;"rojection (droplet spread) of droplet spray onto the conjunctiva or the mucous membranes of the eyes, nose, or mouth. It may also be by direct exposure of susceptible tissue to an agent in soil, compost, or decaying vegetable matter or by the bite of a ra"&amp;"bid animal. Transplacental transmission is another form of direct transmission.")</f>
        <v>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v>
      </c>
      <c r="H580" s="55" t="s">
        <v>19</v>
      </c>
      <c r="I580" s="55" t="s">
        <v>19</v>
      </c>
      <c r="J580" s="55" t="s">
        <v>19</v>
      </c>
      <c r="K580" s="55" t="str">
        <f t="shared" si="44"/>
        <v>International</v>
      </c>
      <c r="M580" s="40"/>
    </row>
    <row r="581" hidden="1">
      <c r="A581" s="34"/>
      <c r="B581" s="53" t="str">
        <f>IFERROR(__xludf.DUMMYFUNCTION("""COMPUTED_VALUE"""),"          Mother-to-child transmission [TRANS:0000006]          ")</f>
        <v>          Mother-to-child transmission [TRANS:0000006]          </v>
      </c>
      <c r="C581" s="34" t="str">
        <f>IFERROR(__xludf.DUMMYFUNCTION("""COMPUTED_VALUE"""),"TRANS:0000006")</f>
        <v>TRANS:0000006</v>
      </c>
      <c r="D581" s="29" t="str">
        <f>IFERROR(__xludf.DUMMYFUNCTION("""COMPUTED_VALUE"""),"A direct transmission process during which the pathogen is transmitted directly from mother to child at or around the time of birth.")</f>
        <v>A direct transmission process during which the pathogen is transmitted directly from mother to child at or around the time of birth.</v>
      </c>
      <c r="H581" s="55" t="s">
        <v>19</v>
      </c>
      <c r="I581" s="55" t="s">
        <v>19</v>
      </c>
      <c r="J581" s="55" t="s">
        <v>19</v>
      </c>
      <c r="K581" s="55" t="str">
        <f t="shared" si="44"/>
        <v>International</v>
      </c>
      <c r="M581" s="40"/>
    </row>
    <row r="582" hidden="1">
      <c r="A582" s="34"/>
      <c r="B582" s="53" t="str">
        <f>IFERROR(__xludf.DUMMYFUNCTION("""COMPUTED_VALUE"""),"          Sexual transmission [NCIT:C19085]          ")</f>
        <v>          Sexual transmission [NCIT:C19085]          </v>
      </c>
      <c r="C582" s="34" t="str">
        <f>IFERROR(__xludf.DUMMYFUNCTION("""COMPUTED_VALUE"""),"NCIT:C19085")</f>
        <v>NCIT:C19085</v>
      </c>
      <c r="D582" s="29" t="str">
        <f>IFERROR(__xludf.DUMMYFUNCTION("""COMPUTED_VALUE"""),"Passage or transfer, as of a disease, from a donor individual to a recipient during or as a result of sexual activity.")</f>
        <v>Passage or transfer, as of a disease, from a donor individual to a recipient during or as a result of sexual activity.</v>
      </c>
      <c r="H582" s="55" t="s">
        <v>19</v>
      </c>
      <c r="I582" s="55" t="s">
        <v>19</v>
      </c>
      <c r="J582" s="55" t="s">
        <v>19</v>
      </c>
      <c r="K582" s="55" t="str">
        <f t="shared" si="44"/>
        <v>International</v>
      </c>
      <c r="M582" s="40"/>
    </row>
    <row r="583" hidden="1">
      <c r="A583" s="34"/>
      <c r="B583" s="53" t="str">
        <f>IFERROR(__xludf.DUMMYFUNCTION("""COMPUTED_VALUE"""),"     Indirect contact [GENEPIO:0100246]               ")</f>
        <v>     Indirect contact [GENEPIO:0100246]               </v>
      </c>
      <c r="C583" s="34" t="str">
        <f>IFERROR(__xludf.DUMMYFUNCTION("""COMPUTED_VALUE"""),"GENEPIO:0100246")</f>
        <v>GENEPIO:0100246</v>
      </c>
      <c r="D583" s="29" t="str">
        <f>IFERROR(__xludf.DUMMYFUNCTION("""COMPUTED_VALUE"""),"A type of contact in which an individual does not come in direct contact with a source of infection e.g. through airborne transmission, contact with contaminated surfaces. ")</f>
        <v>A type of contact in which an individual does not come in direct contact with a source of infection e.g. through airborne transmission, contact with contaminated surfaces. </v>
      </c>
      <c r="H583" s="55" t="s">
        <v>19</v>
      </c>
      <c r="I583" s="55" t="s">
        <v>19</v>
      </c>
      <c r="J583" s="55" t="s">
        <v>19</v>
      </c>
      <c r="K583" s="55" t="str">
        <f t="shared" si="44"/>
        <v>International</v>
      </c>
      <c r="M583" s="40"/>
    </row>
    <row r="584" hidden="1">
      <c r="A584" s="34"/>
      <c r="B584" s="53" t="str">
        <f>IFERROR(__xludf.DUMMYFUNCTION("""COMPUTED_VALUE"""),"          Close contact (face-to-face contact) [GENEPIO:0100247]          ")</f>
        <v>          Close contact (face-to-face contact) [GENEPIO:0100247]          </v>
      </c>
      <c r="C584" s="34" t="str">
        <f>IFERROR(__xludf.DUMMYFUNCTION("""COMPUTED_VALUE"""),"GENEPIO:0100247")</f>
        <v>GENEPIO:0100247</v>
      </c>
      <c r="D584" s="29" t="str">
        <f>IFERROR(__xludf.DUMMYFUNCTION("""COMPUTED_VALUE"""),"A type of indirect contact where an individual sustains unprotected exposure by being within 6 feet of an infected individual over a sustained period of time.")</f>
        <v>A type of indirect contact where an individual sustains unprotected exposure by being within 6 feet of an infected individual over a sustained period of time.</v>
      </c>
      <c r="H584" s="55" t="s">
        <v>19</v>
      </c>
      <c r="I584" s="55" t="s">
        <v>19</v>
      </c>
      <c r="J584" s="55" t="s">
        <v>19</v>
      </c>
      <c r="K584" s="55" t="str">
        <f t="shared" si="44"/>
        <v>International</v>
      </c>
      <c r="M584" s="40"/>
    </row>
    <row r="585" hidden="1">
      <c r="A585" s="34"/>
      <c r="B585" s="53" t="str">
        <f>IFERROR(__xludf.DUMMYFUNCTION("""COMPUTED_VALUE"""),"          Casual contact [GENEPIO:0100248]          ")</f>
        <v>          Casual contact [GENEPIO:0100248]          </v>
      </c>
      <c r="C585" s="34" t="str">
        <f>IFERROR(__xludf.DUMMYFUNCTION("""COMPUTED_VALUE"""),"GENEPIO:0100248")</f>
        <v>GENEPIO:0100248</v>
      </c>
      <c r="D585" s="29" t="str">
        <f>IFERROR(__xludf.DUMMYFUNCTION("""COMPUTED_VALUE"""),"A type of indirect contact where an individual may at the same location at the same time as a positive case; however, they may have been there only briefly, or it may have been a location that carries a lower risk of transmission.")</f>
        <v>A type of indirect contact where an individual may at the same location at the same time as a positive case; however, they may have been there only briefly, or it may have been a location that carries a lower risk of transmission.</v>
      </c>
      <c r="H585" s="55" t="s">
        <v>19</v>
      </c>
      <c r="I585" s="55" t="s">
        <v>19</v>
      </c>
      <c r="J585" s="55" t="s">
        <v>19</v>
      </c>
      <c r="K585" s="55" t="str">
        <f t="shared" si="44"/>
        <v>International</v>
      </c>
      <c r="M585" s="40"/>
    </row>
    <row r="586" hidden="1">
      <c r="A586" s="34"/>
      <c r="B586" s="53" t="str">
        <f>IFERROR(__xludf.DUMMYFUNCTION("""COMPUTED_VALUE"""),"Workplace associated transmission [GENEPIO:0100497]                    ")</f>
        <v>Workplace associated transmission [GENEPIO:0100497]                    </v>
      </c>
      <c r="C586" s="34" t="str">
        <f>IFERROR(__xludf.DUMMYFUNCTION("""COMPUTED_VALUE"""),"GENEPIO:0100497")</f>
        <v>GENEPIO:0100497</v>
      </c>
      <c r="D586" s="29" t="str">
        <f>IFERROR(__xludf.DUMMYFUNCTION("""COMPUTED_VALUE"""),"A type of transmission where an individual acquires an infection or disease as a result of exposure in their workplace environment. This can include direct contact with infected individuals, exposure to contaminated materials or surfaces, or other workpla"&amp;"ce-specific risk factors.")</f>
        <v>A type of transmission where an individual acquires an infection or disease as a result of exposure in their workplace environment. This can include direct contact with infected individuals, exposure to contaminated materials or surfaces, or other workplace-specific risk factors.</v>
      </c>
      <c r="H586" s="55" t="s">
        <v>19</v>
      </c>
      <c r="I586" s="55" t="s">
        <v>19</v>
      </c>
      <c r="J586" s="55" t="s">
        <v>19</v>
      </c>
      <c r="K586" s="55" t="str">
        <f t="shared" si="44"/>
        <v>International</v>
      </c>
      <c r="M586" s="40"/>
    </row>
    <row r="587" hidden="1">
      <c r="A587" s="34"/>
      <c r="B587" s="53" t="str">
        <f>IFERROR(__xludf.DUMMYFUNCTION("""COMPUTED_VALUE"""),"     Healthcare associated transmission [GENEPIO:0100498]               ")</f>
        <v>     Healthcare associated transmission [GENEPIO:0100498]               </v>
      </c>
      <c r="C587" s="34" t="str">
        <f>IFERROR(__xludf.DUMMYFUNCTION("""COMPUTED_VALUE"""),"GENEPIO:0100498")</f>
        <v>GENEPIO:0100498</v>
      </c>
      <c r="D587" s="29" t="str">
        <f>IFERROR(__xludf.DUMMYFUNCTION("""COMPUTED_VALUE"""),"A type of transmission where an individual acquires an infection or disease as a result of exposure within a healthcare setting. This includes transmission through direct contact with patients, contaminated medical equipment, or surfaces within healthcare"&amp;" facilities, such as hospitals or clinics.")</f>
        <v>A type of transmission where an individual acquires an infection or disease as a result of exposure within a healthcare setting. This includes transmission through direct contact with patients, contaminated medical equipment, or surfaces within healthcare facilities, such as hospitals or clinics.</v>
      </c>
      <c r="H587" s="55" t="s">
        <v>19</v>
      </c>
      <c r="I587" s="55" t="s">
        <v>19</v>
      </c>
      <c r="J587" s="55" t="s">
        <v>19</v>
      </c>
      <c r="K587" s="55" t="str">
        <f t="shared" si="44"/>
        <v>International</v>
      </c>
      <c r="M587" s="40"/>
    </row>
    <row r="588" hidden="1">
      <c r="A588" s="34"/>
      <c r="B588" s="53" t="str">
        <f>IFERROR(__xludf.DUMMYFUNCTION("""COMPUTED_VALUE"""),"     Laboratory associated transmission [GENEPIO:0100499]               ")</f>
        <v>     Laboratory associated transmission [GENEPIO:0100499]               </v>
      </c>
      <c r="C588" s="34" t="str">
        <f>IFERROR(__xludf.DUMMYFUNCTION("""COMPUTED_VALUE"""),"GENEPIO:0100499")</f>
        <v>GENEPIO:0100499</v>
      </c>
      <c r="D588" s="29" t="str">
        <f>IFERROR(__xludf.DUMMYFUNCTION("""COMPUTED_VALUE"""),"A type of transmission where an individual acquires an infection or disease as a result of exposure within a laboratory setting. This includes contact with infectious agents, contaminated equipment, or laboratory surfaces, as well as potential aerosol exp"&amp;"osure or spills of hazardous substances.")</f>
        <v>A type of transmission where an individual acquires an infection or disease as a result of exposure within a laboratory setting. This includes contact with infectious agents, contaminated equipment, or laboratory surfaces, as well as potential aerosol exposure or spills of hazardous substances.</v>
      </c>
      <c r="H588" s="55" t="s">
        <v>19</v>
      </c>
      <c r="I588" s="55" t="s">
        <v>19</v>
      </c>
      <c r="J588" s="55" t="s">
        <v>19</v>
      </c>
      <c r="K588" s="55" t="str">
        <f t="shared" si="44"/>
        <v>International</v>
      </c>
      <c r="M588" s="40"/>
    </row>
    <row r="589">
      <c r="A589" s="34" t="str">
        <f>IFERROR(__xludf.DUMMYFUNCTION("""COMPUTED_VALUE"""),"host role menu")</f>
        <v>host role menu</v>
      </c>
      <c r="B589" s="53" t="str">
        <f>IFERROR(__xludf.DUMMYFUNCTION("""COMPUTED_VALUE"""),"                    ")</f>
        <v>                    </v>
      </c>
      <c r="C589" s="34"/>
      <c r="D589" s="29" t="str">
        <f>IFERROR(__xludf.DUMMYFUNCTION("""COMPUTED_VALUE"""),"")</f>
        <v/>
      </c>
      <c r="E589" s="34"/>
      <c r="F589" s="34"/>
      <c r="G589" s="34"/>
      <c r="H589" s="55"/>
      <c r="I589" s="55"/>
      <c r="J589" s="55"/>
      <c r="K589" s="55" t="s">
        <v>26</v>
      </c>
      <c r="L589" s="34" t="str">
        <f>LEFT(A589, LEN(A589) - 5)
</f>
        <v>host role</v>
      </c>
      <c r="M589" s="34" t="str">
        <f>VLOOKUP(L589,'Field Reference Guide'!$B$6:$N$220,13,false)</f>
        <v>Mpox</v>
      </c>
    </row>
    <row r="590">
      <c r="A590" s="34"/>
      <c r="B590" s="53" t="str">
        <f>IFERROR(__xludf.DUMMYFUNCTION("""COMPUTED_VALUE"""),"Attendee                    ")</f>
        <v>Attendee                    </v>
      </c>
      <c r="C590" s="34" t="str">
        <f>IFERROR(__xludf.DUMMYFUNCTION("""COMPUTED_VALUE"""),"GENEPIO:0100249")</f>
        <v>GENEPIO:0100249</v>
      </c>
      <c r="D590"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H590" s="55" t="s">
        <v>19</v>
      </c>
      <c r="I590" s="55" t="s">
        <v>19</v>
      </c>
      <c r="J590" s="55" t="s">
        <v>19</v>
      </c>
      <c r="K590" s="55" t="str">
        <f t="shared" ref="K590:K624" si="45">K589</f>
        <v>Mpox</v>
      </c>
      <c r="M590" s="57" t="s">
        <v>26</v>
      </c>
    </row>
    <row r="591">
      <c r="A591" s="34"/>
      <c r="B591" s="53" t="str">
        <f>IFERROR(__xludf.DUMMYFUNCTION("""COMPUTED_VALUE"""),"     Student               ")</f>
        <v>     Student               </v>
      </c>
      <c r="C591" s="34" t="str">
        <f>IFERROR(__xludf.DUMMYFUNCTION("""COMPUTED_VALUE"""),"OMRSE:00000058")</f>
        <v>OMRSE:00000058</v>
      </c>
      <c r="D591"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H591" s="55" t="s">
        <v>19</v>
      </c>
      <c r="I591" s="55" t="s">
        <v>19</v>
      </c>
      <c r="J591" s="55" t="s">
        <v>19</v>
      </c>
      <c r="K591" s="55" t="str">
        <f t="shared" si="45"/>
        <v>Mpox</v>
      </c>
      <c r="M591" s="40"/>
    </row>
    <row r="592">
      <c r="A592" s="34"/>
      <c r="B592" s="53" t="str">
        <f>IFERROR(__xludf.DUMMYFUNCTION("""COMPUTED_VALUE"""),"Patient                    ")</f>
        <v>Patient                    </v>
      </c>
      <c r="C592" s="34" t="str">
        <f>IFERROR(__xludf.DUMMYFUNCTION("""COMPUTED_VALUE"""),"OMRSE:00000030")</f>
        <v>OMRSE:00000030</v>
      </c>
      <c r="D592" s="29" t="str">
        <f>IFERROR(__xludf.DUMMYFUNCTION("""COMPUTED_VALUE"""),"A patient role that inheres in a human being.")</f>
        <v>A patient role that inheres in a human being.</v>
      </c>
      <c r="H592" s="55" t="s">
        <v>19</v>
      </c>
      <c r="I592" s="55" t="s">
        <v>19</v>
      </c>
      <c r="J592" s="55" t="s">
        <v>19</v>
      </c>
      <c r="K592" s="55" t="str">
        <f t="shared" si="45"/>
        <v>Mpox</v>
      </c>
      <c r="M592" s="40"/>
    </row>
    <row r="593">
      <c r="A593" s="34"/>
      <c r="B593" s="53" t="str">
        <f>IFERROR(__xludf.DUMMYFUNCTION("""COMPUTED_VALUE"""),"     Inpatient               ")</f>
        <v>     Inpatient               </v>
      </c>
      <c r="C593" s="34" t="str">
        <f>IFERROR(__xludf.DUMMYFUNCTION("""COMPUTED_VALUE"""),"NCIT:C25182")</f>
        <v>NCIT:C25182</v>
      </c>
      <c r="D593" s="29" t="str">
        <f>IFERROR(__xludf.DUMMYFUNCTION("""COMPUTED_VALUE"""),"A patient who is residing in the hospital where he is being treated.")</f>
        <v>A patient who is residing in the hospital where he is being treated.</v>
      </c>
      <c r="H593" s="55" t="s">
        <v>19</v>
      </c>
      <c r="I593" s="55" t="s">
        <v>19</v>
      </c>
      <c r="J593" s="55" t="s">
        <v>19</v>
      </c>
      <c r="K593" s="55" t="str">
        <f t="shared" si="45"/>
        <v>Mpox</v>
      </c>
      <c r="M593" s="40"/>
    </row>
    <row r="594">
      <c r="A594" s="34"/>
      <c r="B594" s="53" t="str">
        <f>IFERROR(__xludf.DUMMYFUNCTION("""COMPUTED_VALUE"""),"     Outpatient               ")</f>
        <v>     Outpatient               </v>
      </c>
      <c r="C594" s="34" t="str">
        <f>IFERROR(__xludf.DUMMYFUNCTION("""COMPUTED_VALUE"""),"NCIT:C28293")</f>
        <v>NCIT:C28293</v>
      </c>
      <c r="D594"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H594" s="55" t="s">
        <v>19</v>
      </c>
      <c r="I594" s="55" t="s">
        <v>19</v>
      </c>
      <c r="J594" s="55" t="s">
        <v>19</v>
      </c>
      <c r="K594" s="55" t="str">
        <f t="shared" si="45"/>
        <v>Mpox</v>
      </c>
      <c r="M594" s="40"/>
    </row>
    <row r="595">
      <c r="A595" s="34"/>
      <c r="B595" s="53" t="str">
        <f>IFERROR(__xludf.DUMMYFUNCTION("""COMPUTED_VALUE"""),"Passenger                    ")</f>
        <v>Passenger                    </v>
      </c>
      <c r="C595" s="34" t="str">
        <f>IFERROR(__xludf.DUMMYFUNCTION("""COMPUTED_VALUE"""),"GENEPIO:0100250")</f>
        <v>GENEPIO:0100250</v>
      </c>
      <c r="D595"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H595" s="55" t="s">
        <v>19</v>
      </c>
      <c r="I595" s="55" t="s">
        <v>19</v>
      </c>
      <c r="J595" s="55" t="s">
        <v>19</v>
      </c>
      <c r="K595" s="55" t="str">
        <f t="shared" si="45"/>
        <v>Mpox</v>
      </c>
      <c r="M595" s="40"/>
    </row>
    <row r="596">
      <c r="A596" s="34"/>
      <c r="B596" s="53" t="str">
        <f>IFERROR(__xludf.DUMMYFUNCTION("""COMPUTED_VALUE"""),"Resident                    ")</f>
        <v>Resident                    </v>
      </c>
      <c r="C596" s="34" t="str">
        <f>IFERROR(__xludf.DUMMYFUNCTION("""COMPUTED_VALUE"""),"GENEPIO:0100251")</f>
        <v>GENEPIO:0100251</v>
      </c>
      <c r="D596" s="29" t="str">
        <f>IFERROR(__xludf.DUMMYFUNCTION("""COMPUTED_VALUE"""),"A role inhering in a person that is realized when the bearer maintains residency in a given place.")</f>
        <v>A role inhering in a person that is realized when the bearer maintains residency in a given place.</v>
      </c>
      <c r="H596" s="55" t="s">
        <v>19</v>
      </c>
      <c r="I596" s="55" t="s">
        <v>19</v>
      </c>
      <c r="J596" s="55" t="s">
        <v>19</v>
      </c>
      <c r="K596" s="55" t="str">
        <f t="shared" si="45"/>
        <v>Mpox</v>
      </c>
      <c r="M596" s="40"/>
    </row>
    <row r="597">
      <c r="A597" s="34"/>
      <c r="B597" s="53" t="str">
        <f>IFERROR(__xludf.DUMMYFUNCTION("""COMPUTED_VALUE"""),"Visitor                    ")</f>
        <v>Visitor                    </v>
      </c>
      <c r="C597" s="34" t="str">
        <f>IFERROR(__xludf.DUMMYFUNCTION("""COMPUTED_VALUE"""),"GENEPIO:0100252")</f>
        <v>GENEPIO:0100252</v>
      </c>
      <c r="D597" s="29" t="str">
        <f>IFERROR(__xludf.DUMMYFUNCTION("""COMPUTED_VALUE"""),"A role inhering in a person that is realized when the bearer pays a visit to a specific place or event.")</f>
        <v>A role inhering in a person that is realized when the bearer pays a visit to a specific place or event.</v>
      </c>
      <c r="H597" s="55" t="s">
        <v>19</v>
      </c>
      <c r="I597" s="55" t="s">
        <v>19</v>
      </c>
      <c r="J597" s="55" t="s">
        <v>19</v>
      </c>
      <c r="K597" s="55" t="str">
        <f t="shared" si="45"/>
        <v>Mpox</v>
      </c>
      <c r="M597" s="40"/>
    </row>
    <row r="598">
      <c r="A598" s="34"/>
      <c r="B598" s="53" t="str">
        <f>IFERROR(__xludf.DUMMYFUNCTION("""COMPUTED_VALUE"""),"Volunteer                    ")</f>
        <v>Volunteer                    </v>
      </c>
      <c r="C598" s="34" t="str">
        <f>IFERROR(__xludf.DUMMYFUNCTION("""COMPUTED_VALUE"""),"GENEPIO:0100253")</f>
        <v>GENEPIO:0100253</v>
      </c>
      <c r="D598" s="29" t="str">
        <f>IFERROR(__xludf.DUMMYFUNCTION("""COMPUTED_VALUE"""),"A role inhering in a person that is realized when the bearer enters into any service of their own free will.")</f>
        <v>A role inhering in a person that is realized when the bearer enters into any service of their own free will.</v>
      </c>
      <c r="H598" s="55" t="s">
        <v>19</v>
      </c>
      <c r="I598" s="55" t="s">
        <v>19</v>
      </c>
      <c r="J598" s="55" t="s">
        <v>19</v>
      </c>
      <c r="K598" s="55" t="str">
        <f t="shared" si="45"/>
        <v>Mpox</v>
      </c>
      <c r="M598" s="40"/>
    </row>
    <row r="599">
      <c r="A599" s="34"/>
      <c r="B599" s="53" t="str">
        <f>IFERROR(__xludf.DUMMYFUNCTION("""COMPUTED_VALUE"""),"Work                    ")</f>
        <v>Work                    </v>
      </c>
      <c r="C599" s="34" t="str">
        <f>IFERROR(__xludf.DUMMYFUNCTION("""COMPUTED_VALUE"""),"GENEPIO:0100254")</f>
        <v>GENEPIO:0100254</v>
      </c>
      <c r="D599" s="29" t="str">
        <f>IFERROR(__xludf.DUMMYFUNCTION("""COMPUTED_VALUE"""),"A role inhering in a person that is realized when the bearer performs labor for a living.")</f>
        <v>A role inhering in a person that is realized when the bearer performs labor for a living.</v>
      </c>
      <c r="H599" s="55" t="s">
        <v>19</v>
      </c>
      <c r="I599" s="55" t="s">
        <v>19</v>
      </c>
      <c r="J599" s="55" t="s">
        <v>19</v>
      </c>
      <c r="K599" s="55" t="str">
        <f t="shared" si="45"/>
        <v>Mpox</v>
      </c>
      <c r="M599" s="40"/>
    </row>
    <row r="600">
      <c r="A600" s="34"/>
      <c r="B600" s="53" t="str">
        <f>IFERROR(__xludf.DUMMYFUNCTION("""COMPUTED_VALUE"""),"     Administrator               ")</f>
        <v>     Administrator               </v>
      </c>
      <c r="C600" s="34" t="str">
        <f>IFERROR(__xludf.DUMMYFUNCTION("""COMPUTED_VALUE"""),"GENEPIO:0100255")</f>
        <v>GENEPIO:0100255</v>
      </c>
      <c r="D600"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H600" s="55" t="s">
        <v>19</v>
      </c>
      <c r="I600" s="55" t="s">
        <v>19</v>
      </c>
      <c r="J600" s="55" t="s">
        <v>19</v>
      </c>
      <c r="K600" s="55" t="str">
        <f t="shared" si="45"/>
        <v>Mpox</v>
      </c>
      <c r="M600" s="40"/>
    </row>
    <row r="601">
      <c r="A601" s="34"/>
      <c r="B601" s="53" t="str">
        <f>IFERROR(__xludf.DUMMYFUNCTION("""COMPUTED_VALUE"""),"     First Responder               ")</f>
        <v>     First Responder               </v>
      </c>
      <c r="C601" s="34" t="str">
        <f>IFERROR(__xludf.DUMMYFUNCTION("""COMPUTED_VALUE"""),"GENEPIO:0100256")</f>
        <v>GENEPIO:0100256</v>
      </c>
      <c r="D601"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H601" s="55" t="s">
        <v>19</v>
      </c>
      <c r="I601" s="55" t="s">
        <v>19</v>
      </c>
      <c r="J601" s="55" t="s">
        <v>19</v>
      </c>
      <c r="K601" s="55" t="str">
        <f t="shared" si="45"/>
        <v>Mpox</v>
      </c>
      <c r="M601" s="40"/>
    </row>
    <row r="602">
      <c r="A602" s="34"/>
      <c r="B602" s="53" t="str">
        <f>IFERROR(__xludf.DUMMYFUNCTION("""COMPUTED_VALUE"""),"     Housekeeper               ")</f>
        <v>     Housekeeper               </v>
      </c>
      <c r="C602" s="34" t="str">
        <f>IFERROR(__xludf.DUMMYFUNCTION("""COMPUTED_VALUE"""),"GENEPIO:0100260")</f>
        <v>GENEPIO:0100260</v>
      </c>
      <c r="D602"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H602" s="55" t="s">
        <v>19</v>
      </c>
      <c r="I602" s="55" t="s">
        <v>19</v>
      </c>
      <c r="J602" s="55" t="s">
        <v>19</v>
      </c>
      <c r="K602" s="55" t="str">
        <f t="shared" si="45"/>
        <v>Mpox</v>
      </c>
      <c r="M602" s="40"/>
    </row>
    <row r="603">
      <c r="A603" s="34"/>
      <c r="B603" s="53" t="str">
        <f>IFERROR(__xludf.DUMMYFUNCTION("""COMPUTED_VALUE"""),"     Kitchen Worker               ")</f>
        <v>     Kitchen Worker               </v>
      </c>
      <c r="C603" s="34" t="str">
        <f>IFERROR(__xludf.DUMMYFUNCTION("""COMPUTED_VALUE"""),"GENEPIO:0100261")</f>
        <v>GENEPIO:0100261</v>
      </c>
      <c r="D603" s="29" t="str">
        <f>IFERROR(__xludf.DUMMYFUNCTION("""COMPUTED_VALUE"""),"A role inhering in a person that is realized when the bearer is an employee that performs labor in a kitchen.")</f>
        <v>A role inhering in a person that is realized when the bearer is an employee that performs labor in a kitchen.</v>
      </c>
      <c r="H603" s="55" t="s">
        <v>19</v>
      </c>
      <c r="I603" s="55" t="s">
        <v>19</v>
      </c>
      <c r="J603" s="55" t="s">
        <v>19</v>
      </c>
      <c r="K603" s="55" t="str">
        <f t="shared" si="45"/>
        <v>Mpox</v>
      </c>
      <c r="M603" s="40"/>
    </row>
    <row r="604">
      <c r="A604" s="34"/>
      <c r="B604" s="53" t="str">
        <f>IFERROR(__xludf.DUMMYFUNCTION("""COMPUTED_VALUE"""),"     Healthcare Worker               ")</f>
        <v>     Healthcare Worker               </v>
      </c>
      <c r="C604" s="34" t="str">
        <f>IFERROR(__xludf.DUMMYFUNCTION("""COMPUTED_VALUE"""),"GENEPIO:0100334")</f>
        <v>GENEPIO:0100334</v>
      </c>
      <c r="D604"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H604" s="55" t="s">
        <v>19</v>
      </c>
      <c r="I604" s="55" t="s">
        <v>19</v>
      </c>
      <c r="J604" s="55" t="s">
        <v>19</v>
      </c>
      <c r="K604" s="55" t="str">
        <f t="shared" si="45"/>
        <v>Mpox</v>
      </c>
      <c r="M604" s="40"/>
    </row>
    <row r="605">
      <c r="A605" s="34"/>
      <c r="B605" s="53" t="str">
        <f>IFERROR(__xludf.DUMMYFUNCTION("""COMPUTED_VALUE"""),"          Community Healthcare Worker          ")</f>
        <v>          Community Healthcare Worker          </v>
      </c>
      <c r="C605" s="34" t="str">
        <f>IFERROR(__xludf.DUMMYFUNCTION("""COMPUTED_VALUE"""),"GENEPIO:0100420")</f>
        <v>GENEPIO:0100420</v>
      </c>
      <c r="D605"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H605" s="55" t="s">
        <v>19</v>
      </c>
      <c r="I605" s="55" t="s">
        <v>19</v>
      </c>
      <c r="J605" s="55" t="s">
        <v>19</v>
      </c>
      <c r="K605" s="55" t="str">
        <f t="shared" si="45"/>
        <v>Mpox</v>
      </c>
      <c r="M605" s="40"/>
    </row>
    <row r="606">
      <c r="A606" s="34"/>
      <c r="B606" s="53" t="str">
        <f>IFERROR(__xludf.DUMMYFUNCTION("""COMPUTED_VALUE"""),"          Laboratory Worker          ")</f>
        <v>          Laboratory Worker          </v>
      </c>
      <c r="C606" s="34" t="str">
        <f>IFERROR(__xludf.DUMMYFUNCTION("""COMPUTED_VALUE"""),"GENEPIO:0100262")</f>
        <v>GENEPIO:0100262</v>
      </c>
      <c r="D606"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H606" s="55" t="s">
        <v>19</v>
      </c>
      <c r="I606" s="55" t="s">
        <v>19</v>
      </c>
      <c r="J606" s="55" t="s">
        <v>19</v>
      </c>
      <c r="K606" s="55" t="str">
        <f t="shared" si="45"/>
        <v>Mpox</v>
      </c>
      <c r="M606" s="40"/>
    </row>
    <row r="607">
      <c r="A607" s="34"/>
      <c r="B607" s="53" t="str">
        <f>IFERROR(__xludf.DUMMYFUNCTION("""COMPUTED_VALUE"""),"          Nurse          ")</f>
        <v>          Nurse          </v>
      </c>
      <c r="C607" s="34" t="str">
        <f>IFERROR(__xludf.DUMMYFUNCTION("""COMPUTED_VALUE"""),"OMRSE:00000014")</f>
        <v>OMRSE:00000014</v>
      </c>
      <c r="D607" s="29" t="str">
        <f>IFERROR(__xludf.DUMMYFUNCTION("""COMPUTED_VALUE"""),"A health care role borne by a human being and realized by the care of individuals, families, and communities so they may attain, maintain, or recover optimal health and quality of life.")</f>
        <v>A health care role borne by a human being and realized by the care of individuals, families, and communities so they may attain, maintain, or recover optimal health and quality of life.</v>
      </c>
      <c r="H607" s="55" t="s">
        <v>19</v>
      </c>
      <c r="I607" s="55" t="s">
        <v>19</v>
      </c>
      <c r="J607" s="55" t="s">
        <v>19</v>
      </c>
      <c r="K607" s="55" t="str">
        <f t="shared" si="45"/>
        <v>Mpox</v>
      </c>
      <c r="M607" s="40"/>
    </row>
    <row r="608">
      <c r="A608" s="34"/>
      <c r="B608" s="53" t="str">
        <f>IFERROR(__xludf.DUMMYFUNCTION("""COMPUTED_VALUE"""),"          Personal Care Aid          ")</f>
        <v>          Personal Care Aid          </v>
      </c>
      <c r="C608" s="34" t="str">
        <f>IFERROR(__xludf.DUMMYFUNCTION("""COMPUTED_VALUE"""),"GENEPIO:0100263")</f>
        <v>GENEPIO:0100263</v>
      </c>
      <c r="D608"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H608" s="55" t="s">
        <v>19</v>
      </c>
      <c r="I608" s="55" t="s">
        <v>19</v>
      </c>
      <c r="J608" s="55" t="s">
        <v>19</v>
      </c>
      <c r="K608" s="55" t="str">
        <f t="shared" si="45"/>
        <v>Mpox</v>
      </c>
      <c r="M608" s="40"/>
    </row>
    <row r="609">
      <c r="A609" s="34"/>
      <c r="B609" s="53" t="str">
        <f>IFERROR(__xludf.DUMMYFUNCTION("""COMPUTED_VALUE"""),"          Pharmacist          ")</f>
        <v>          Pharmacist          </v>
      </c>
      <c r="C609" s="34" t="str">
        <f>IFERROR(__xludf.DUMMYFUNCTION("""COMPUTED_VALUE"""),"GENEPIO:0100264")</f>
        <v>GENEPIO:0100264</v>
      </c>
      <c r="D609"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H609" s="55" t="s">
        <v>19</v>
      </c>
      <c r="I609" s="55" t="s">
        <v>19</v>
      </c>
      <c r="J609" s="55" t="s">
        <v>19</v>
      </c>
      <c r="K609" s="55" t="str">
        <f t="shared" si="45"/>
        <v>Mpox</v>
      </c>
      <c r="M609" s="40"/>
    </row>
    <row r="610">
      <c r="A610" s="34"/>
      <c r="B610" s="53" t="str">
        <f>IFERROR(__xludf.DUMMYFUNCTION("""COMPUTED_VALUE"""),"          Physician          ")</f>
        <v>          Physician          </v>
      </c>
      <c r="C610" s="34" t="str">
        <f>IFERROR(__xludf.DUMMYFUNCTION("""COMPUTED_VALUE"""),"OMRSE:00000013")</f>
        <v>OMRSE:00000013</v>
      </c>
      <c r="D610" s="29" t="str">
        <f>IFERROR(__xludf.DUMMYFUNCTION("""COMPUTED_VALUE"""),"A health care role borne by a human being and realized by promoting, maintaining or restoring human health through the study, diagnosis, and treatment of disease, injury and other physical and mental impairments.")</f>
        <v>A health care role borne by a human being and realized by promoting, maintaining or restoring human health through the study, diagnosis, and treatment of disease, injury and other physical and mental impairments.</v>
      </c>
      <c r="H610" s="55" t="s">
        <v>19</v>
      </c>
      <c r="I610" s="55" t="s">
        <v>19</v>
      </c>
      <c r="J610" s="55" t="s">
        <v>19</v>
      </c>
      <c r="K610" s="55" t="str">
        <f t="shared" si="45"/>
        <v>Mpox</v>
      </c>
      <c r="M610" s="40"/>
    </row>
    <row r="611">
      <c r="A611" s="34"/>
      <c r="B611" s="53" t="str">
        <f>IFERROR(__xludf.DUMMYFUNCTION("""COMPUTED_VALUE"""),"     Rotational Worker               ")</f>
        <v>     Rotational Worker               </v>
      </c>
      <c r="C611" s="34" t="str">
        <f>IFERROR(__xludf.DUMMYFUNCTION("""COMPUTED_VALUE"""),"GENEPIO:0100354")</f>
        <v>GENEPIO:0100354</v>
      </c>
      <c r="D611"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H611" s="55" t="s">
        <v>19</v>
      </c>
      <c r="I611" s="55" t="s">
        <v>19</v>
      </c>
      <c r="J611" s="55" t="s">
        <v>19</v>
      </c>
      <c r="K611" s="55" t="str">
        <f t="shared" si="45"/>
        <v>Mpox</v>
      </c>
      <c r="M611" s="40"/>
    </row>
    <row r="612">
      <c r="A612" s="34"/>
      <c r="B612" s="53" t="str">
        <f>IFERROR(__xludf.DUMMYFUNCTION("""COMPUTED_VALUE"""),"     Seasonal Worker               ")</f>
        <v>     Seasonal Worker               </v>
      </c>
      <c r="C612" s="34" t="str">
        <f>IFERROR(__xludf.DUMMYFUNCTION("""COMPUTED_VALUE"""),"GENEPIO:0100355")</f>
        <v>GENEPIO:0100355</v>
      </c>
      <c r="D612"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H612" s="55" t="s">
        <v>19</v>
      </c>
      <c r="I612" s="55" t="s">
        <v>19</v>
      </c>
      <c r="J612" s="55" t="s">
        <v>19</v>
      </c>
      <c r="K612" s="55" t="str">
        <f t="shared" si="45"/>
        <v>Mpox</v>
      </c>
      <c r="M612" s="40"/>
    </row>
    <row r="613">
      <c r="A613" s="34"/>
      <c r="B613" s="53" t="str">
        <f>IFERROR(__xludf.DUMMYFUNCTION("""COMPUTED_VALUE"""),"     Sex Worker               ")</f>
        <v>     Sex Worker               </v>
      </c>
      <c r="C613" s="34" t="str">
        <f>IFERROR(__xludf.DUMMYFUNCTION("""COMPUTED_VALUE"""),"GSSO:005831")</f>
        <v>GSSO:005831</v>
      </c>
      <c r="D613"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H613" s="55" t="s">
        <v>19</v>
      </c>
      <c r="I613" s="55" t="s">
        <v>19</v>
      </c>
      <c r="J613" s="55" t="s">
        <v>19</v>
      </c>
      <c r="K613" s="55" t="str">
        <f t="shared" si="45"/>
        <v>Mpox</v>
      </c>
      <c r="M613" s="40"/>
    </row>
    <row r="614">
      <c r="A614" s="34"/>
      <c r="B614" s="53" t="str">
        <f>IFERROR(__xludf.DUMMYFUNCTION("""COMPUTED_VALUE"""),"     Veterinarian               ")</f>
        <v>     Veterinarian               </v>
      </c>
      <c r="C614" s="34" t="str">
        <f>IFERROR(__xludf.DUMMYFUNCTION("""COMPUTED_VALUE"""),"GENEPIO:0100265")</f>
        <v>GENEPIO:0100265</v>
      </c>
      <c r="D614"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H614" s="55" t="s">
        <v>19</v>
      </c>
      <c r="I614" s="55" t="s">
        <v>19</v>
      </c>
      <c r="J614" s="55" t="s">
        <v>19</v>
      </c>
      <c r="K614" s="55" t="str">
        <f t="shared" si="45"/>
        <v>Mpox</v>
      </c>
      <c r="M614" s="40"/>
    </row>
    <row r="615">
      <c r="A615" s="29"/>
      <c r="B615" s="53" t="str">
        <f>IFERROR(__xludf.DUMMYFUNCTION("""COMPUTED_VALUE"""),"Social role                    ")</f>
        <v>Social role                    </v>
      </c>
      <c r="C615" s="29" t="str">
        <f>IFERROR(__xludf.DUMMYFUNCTION("""COMPUTED_VALUE"""),"OMRSE:00000001")</f>
        <v>OMRSE:00000001</v>
      </c>
      <c r="D615" s="29" t="str">
        <f>IFERROR(__xludf.DUMMYFUNCTION("""COMPUTED_VALUE"""),"A social role inhering in a human being.")</f>
        <v>A social role inhering in a human being.</v>
      </c>
      <c r="E615" s="29"/>
      <c r="F615" s="29"/>
      <c r="G615" s="29"/>
      <c r="H615" s="29"/>
      <c r="I615" s="29"/>
      <c r="J615" s="29"/>
      <c r="K615" s="55" t="str">
        <f t="shared" si="45"/>
        <v>Mpox</v>
      </c>
      <c r="M615" s="40"/>
    </row>
    <row r="616">
      <c r="A616" s="29"/>
      <c r="B616" s="53" t="str">
        <f>IFERROR(__xludf.DUMMYFUNCTION("""COMPUTED_VALUE"""),"     Acquaintance of case               ")</f>
        <v>     Acquaintance of case               </v>
      </c>
      <c r="C616" s="29" t="str">
        <f>IFERROR(__xludf.DUMMYFUNCTION("""COMPUTED_VALUE"""),"GENEPIO:0100266")</f>
        <v>GENEPIO:0100266</v>
      </c>
      <c r="D616" s="29" t="str">
        <f>IFERROR(__xludf.DUMMYFUNCTION("""COMPUTED_VALUE"""),"A role inhering in a person that is realized when the bearer is in a state of being acquainted with a person.")</f>
        <v>A role inhering in a person that is realized when the bearer is in a state of being acquainted with a person.</v>
      </c>
      <c r="E616" s="29"/>
      <c r="F616" s="29"/>
      <c r="G616" s="29"/>
      <c r="H616" s="56" t="s">
        <v>19</v>
      </c>
      <c r="I616" s="56" t="s">
        <v>19</v>
      </c>
      <c r="J616" s="56" t="s">
        <v>19</v>
      </c>
      <c r="K616" s="55" t="str">
        <f t="shared" si="45"/>
        <v>Mpox</v>
      </c>
      <c r="M616" s="40"/>
    </row>
    <row r="617">
      <c r="A617" s="29"/>
      <c r="B617" s="53" t="str">
        <f>IFERROR(__xludf.DUMMYFUNCTION("""COMPUTED_VALUE"""),"     Relative of case               ")</f>
        <v>     Relative of case               </v>
      </c>
      <c r="C617" s="29" t="str">
        <f>IFERROR(__xludf.DUMMYFUNCTION("""COMPUTED_VALUE"""),"GENEPIO:0100267")</f>
        <v>GENEPIO:0100267</v>
      </c>
      <c r="D617" s="29" t="str">
        <f>IFERROR(__xludf.DUMMYFUNCTION("""COMPUTED_VALUE"""),"A role inhering in a person that is realized when the bearer is a relative of the case.")</f>
        <v>A role inhering in a person that is realized when the bearer is a relative of the case.</v>
      </c>
      <c r="E617" s="29"/>
      <c r="F617" s="29"/>
      <c r="G617" s="29"/>
      <c r="H617" s="56" t="s">
        <v>19</v>
      </c>
      <c r="I617" s="56" t="s">
        <v>19</v>
      </c>
      <c r="J617" s="56" t="s">
        <v>19</v>
      </c>
      <c r="K617" s="55" t="str">
        <f t="shared" si="45"/>
        <v>Mpox</v>
      </c>
      <c r="M617" s="40"/>
    </row>
    <row r="618">
      <c r="A618" s="29"/>
      <c r="B618" s="53" t="str">
        <f>IFERROR(__xludf.DUMMYFUNCTION("""COMPUTED_VALUE"""),"          Child of case          ")</f>
        <v>          Child of case          </v>
      </c>
      <c r="C618" s="29" t="str">
        <f>IFERROR(__xludf.DUMMYFUNCTION("""COMPUTED_VALUE"""),"GENEPIO:0100268")</f>
        <v>GENEPIO:0100268</v>
      </c>
      <c r="D618" s="29" t="str">
        <f>IFERROR(__xludf.DUMMYFUNCTION("""COMPUTED_VALUE"""),"A role inhering in a person that is realized when the bearer is a person younger than the age of majority.")</f>
        <v>A role inhering in a person that is realized when the bearer is a person younger than the age of majority.</v>
      </c>
      <c r="E618" s="29"/>
      <c r="F618" s="29"/>
      <c r="G618" s="29"/>
      <c r="H618" s="56" t="s">
        <v>19</v>
      </c>
      <c r="I618" s="56" t="s">
        <v>19</v>
      </c>
      <c r="J618" s="56" t="s">
        <v>19</v>
      </c>
      <c r="K618" s="55" t="str">
        <f t="shared" si="45"/>
        <v>Mpox</v>
      </c>
      <c r="M618" s="40"/>
    </row>
    <row r="619">
      <c r="A619" s="29"/>
      <c r="B619" s="53" t="str">
        <f>IFERROR(__xludf.DUMMYFUNCTION("""COMPUTED_VALUE"""),"          Parent of case          ")</f>
        <v>          Parent of case          </v>
      </c>
      <c r="C619" s="29" t="str">
        <f>IFERROR(__xludf.DUMMYFUNCTION("""COMPUTED_VALUE"""),"GENEPIO:0100269")</f>
        <v>GENEPIO:0100269</v>
      </c>
      <c r="D619"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E619" s="29"/>
      <c r="F619" s="29"/>
      <c r="G619" s="29"/>
      <c r="H619" s="56" t="s">
        <v>19</v>
      </c>
      <c r="I619" s="56" t="s">
        <v>19</v>
      </c>
      <c r="J619" s="56" t="s">
        <v>19</v>
      </c>
      <c r="K619" s="55" t="str">
        <f t="shared" si="45"/>
        <v>Mpox</v>
      </c>
      <c r="M619" s="40"/>
    </row>
    <row r="620">
      <c r="A620" s="29"/>
      <c r="B620" s="53" t="str">
        <f>IFERROR(__xludf.DUMMYFUNCTION("""COMPUTED_VALUE"""),"               Father of case     ")</f>
        <v>               Father of case     </v>
      </c>
      <c r="C620" s="29" t="str">
        <f>IFERROR(__xludf.DUMMYFUNCTION("""COMPUTED_VALUE"""),"GENEPIO:0100270")</f>
        <v>GENEPIO:0100270</v>
      </c>
      <c r="D620" s="29" t="str">
        <f>IFERROR(__xludf.DUMMYFUNCTION("""COMPUTED_VALUE"""),"A role inhering in a person that is realized when the bearer is the male parent of a child.")</f>
        <v>A role inhering in a person that is realized when the bearer is the male parent of a child.</v>
      </c>
      <c r="E620" s="29"/>
      <c r="F620" s="29"/>
      <c r="G620" s="29"/>
      <c r="H620" s="56" t="s">
        <v>19</v>
      </c>
      <c r="I620" s="56" t="s">
        <v>19</v>
      </c>
      <c r="J620" s="56" t="s">
        <v>19</v>
      </c>
      <c r="K620" s="55" t="str">
        <f t="shared" si="45"/>
        <v>Mpox</v>
      </c>
      <c r="M620" s="40"/>
    </row>
    <row r="621">
      <c r="A621" s="29"/>
      <c r="B621" s="53" t="str">
        <f>IFERROR(__xludf.DUMMYFUNCTION("""COMPUTED_VALUE"""),"               Mother of case     ")</f>
        <v>               Mother of case     </v>
      </c>
      <c r="C621" s="29" t="str">
        <f>IFERROR(__xludf.DUMMYFUNCTION("""COMPUTED_VALUE"""),"GENEPIO:0100271")</f>
        <v>GENEPIO:0100271</v>
      </c>
      <c r="D621" s="29" t="str">
        <f>IFERROR(__xludf.DUMMYFUNCTION("""COMPUTED_VALUE"""),"A role inhering in a person that is realized when the bearer is the female parent of a child.")</f>
        <v>A role inhering in a person that is realized when the bearer is the female parent of a child.</v>
      </c>
      <c r="E621" s="29"/>
      <c r="F621" s="29"/>
      <c r="G621" s="29"/>
      <c r="H621" s="56" t="s">
        <v>19</v>
      </c>
      <c r="I621" s="56" t="s">
        <v>19</v>
      </c>
      <c r="J621" s="56" t="s">
        <v>19</v>
      </c>
      <c r="K621" s="55" t="str">
        <f t="shared" si="45"/>
        <v>Mpox</v>
      </c>
      <c r="M621" s="40"/>
    </row>
    <row r="622">
      <c r="A622" s="29"/>
      <c r="B622" s="53" t="str">
        <f>IFERROR(__xludf.DUMMYFUNCTION("""COMPUTED_VALUE"""),"     Sexual partner of case               ")</f>
        <v>     Sexual partner of case               </v>
      </c>
      <c r="C622" s="29" t="str">
        <f>IFERROR(__xludf.DUMMYFUNCTION("""COMPUTED_VALUE"""),"GENEPIO:0100500")</f>
        <v>GENEPIO:0100500</v>
      </c>
      <c r="D622" s="29" t="str">
        <f>IFERROR(__xludf.DUMMYFUNCTION("""COMPUTED_VALUE"""),"A role inhering in a person that is realized when the bearer is a sexual partner of the case.")</f>
        <v>A role inhering in a person that is realized when the bearer is a sexual partner of the case.</v>
      </c>
      <c r="E622" s="29"/>
      <c r="F622" s="29"/>
      <c r="G622" s="29"/>
      <c r="H622" s="56" t="s">
        <v>19</v>
      </c>
      <c r="I622" s="56" t="s">
        <v>19</v>
      </c>
      <c r="J622" s="56" t="s">
        <v>19</v>
      </c>
      <c r="K622" s="55" t="str">
        <f t="shared" si="45"/>
        <v>Mpox</v>
      </c>
      <c r="M622" s="40"/>
    </row>
    <row r="623">
      <c r="A623" s="29"/>
      <c r="B623" s="53" t="str">
        <f>IFERROR(__xludf.DUMMYFUNCTION("""COMPUTED_VALUE"""),"     Spouse of case               ")</f>
        <v>     Spouse of case               </v>
      </c>
      <c r="C623" s="29" t="str">
        <f>IFERROR(__xludf.DUMMYFUNCTION("""COMPUTED_VALUE"""),"GENEPIO:0100272")</f>
        <v>GENEPIO:0100272</v>
      </c>
      <c r="D623"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E623" s="29"/>
      <c r="F623" s="29"/>
      <c r="G623" s="29"/>
      <c r="H623" s="56" t="s">
        <v>19</v>
      </c>
      <c r="I623" s="56" t="s">
        <v>19</v>
      </c>
      <c r="J623" s="56" t="s">
        <v>19</v>
      </c>
      <c r="K623" s="55" t="str">
        <f t="shared" si="45"/>
        <v>Mpox</v>
      </c>
      <c r="M623" s="40"/>
    </row>
    <row r="624">
      <c r="A624" s="29"/>
      <c r="B624" s="53" t="str">
        <f>IFERROR(__xludf.DUMMYFUNCTION("""COMPUTED_VALUE"""),"Other Host Role                    ")</f>
        <v>Other Host Role                    </v>
      </c>
      <c r="C624" s="29"/>
      <c r="D624" s="29" t="str">
        <f>IFERROR(__xludf.DUMMYFUNCTION("""COMPUTED_VALUE"""),"")</f>
        <v/>
      </c>
      <c r="E624" s="29"/>
      <c r="F624" s="29"/>
      <c r="G624" s="29"/>
      <c r="H624" s="56" t="s">
        <v>19</v>
      </c>
      <c r="I624" s="56" t="s">
        <v>19</v>
      </c>
      <c r="J624" s="56" t="s">
        <v>19</v>
      </c>
      <c r="K624" s="55" t="str">
        <f t="shared" si="45"/>
        <v>Mpox</v>
      </c>
      <c r="M624" s="40"/>
    </row>
    <row r="625" hidden="1">
      <c r="A625" s="29" t="str">
        <f>IFERROR(__xludf.DUMMYFUNCTION("""COMPUTED_VALUE"""),"host role international menu")</f>
        <v>host role international menu</v>
      </c>
      <c r="B625" s="53" t="str">
        <f>IFERROR(__xludf.DUMMYFUNCTION("""COMPUTED_VALUE"""),"                    ")</f>
        <v>                    </v>
      </c>
      <c r="C625" s="29"/>
      <c r="D625" s="29" t="str">
        <f>IFERROR(__xludf.DUMMYFUNCTION("""COMPUTED_VALUE"""),"")</f>
        <v/>
      </c>
      <c r="E625" s="29"/>
      <c r="F625" s="29"/>
      <c r="G625" s="29"/>
      <c r="H625" s="56"/>
      <c r="I625" s="56"/>
      <c r="J625" s="56"/>
      <c r="K625" s="59" t="s">
        <v>27</v>
      </c>
      <c r="L625" s="34" t="str">
        <f>LEFT(A625, LEN(A625) - 5)
</f>
        <v>host role international</v>
      </c>
      <c r="M625" s="34" t="str">
        <f>VLOOKUP(L625,'Field Reference Guide'!$B$6:$N$220,13,false)</f>
        <v>#N/A</v>
      </c>
    </row>
    <row r="626" hidden="1">
      <c r="A626" s="29"/>
      <c r="B626" s="53" t="str">
        <f>IFERROR(__xludf.DUMMYFUNCTION("""COMPUTED_VALUE"""),"Attendee [GENEPIO:0100249]                    ")</f>
        <v>Attendee [GENEPIO:0100249]                    </v>
      </c>
      <c r="C626" s="29" t="str">
        <f>IFERROR(__xludf.DUMMYFUNCTION("""COMPUTED_VALUE"""),"GENEPIO:0100249")</f>
        <v>GENEPIO:0100249</v>
      </c>
      <c r="D626" s="29" t="str">
        <f>IFERROR(__xludf.DUMMYFUNCTION("""COMPUTED_VALUE"""),"A role inhering in a person that is realized when the bearer is present on a given occasion or at a given place.")</f>
        <v>A role inhering in a person that is realized when the bearer is present on a given occasion or at a given place.</v>
      </c>
      <c r="E626" s="29"/>
      <c r="F626" s="29"/>
      <c r="G626" s="29"/>
      <c r="H626" s="56" t="s">
        <v>19</v>
      </c>
      <c r="I626" s="56" t="s">
        <v>19</v>
      </c>
      <c r="J626" s="56" t="s">
        <v>19</v>
      </c>
      <c r="K626" s="55" t="str">
        <f t="shared" ref="K626:K660" si="46">K625</f>
        <v>International</v>
      </c>
      <c r="M626" s="57" t="s">
        <v>28</v>
      </c>
    </row>
    <row r="627" hidden="1">
      <c r="A627" s="29"/>
      <c r="B627" s="53" t="str">
        <f>IFERROR(__xludf.DUMMYFUNCTION("""COMPUTED_VALUE"""),"     Student [OMRSE:00000058]               ")</f>
        <v>     Student [OMRSE:00000058]               </v>
      </c>
      <c r="C627" s="29" t="str">
        <f>IFERROR(__xludf.DUMMYFUNCTION("""COMPUTED_VALUE"""),"OMRSE:00000058")</f>
        <v>OMRSE:00000058</v>
      </c>
      <c r="D627" s="29" t="str">
        <f>IFERROR(__xludf.DUMMYFUNCTION("""COMPUTED_VALUE"""),"A human social role that, if realized, is realized by the process of formal education that the bearer undergoes.")</f>
        <v>A human social role that, if realized, is realized by the process of formal education that the bearer undergoes.</v>
      </c>
      <c r="E627" s="29"/>
      <c r="F627" s="29"/>
      <c r="G627" s="29"/>
      <c r="H627" s="56" t="s">
        <v>19</v>
      </c>
      <c r="I627" s="56" t="s">
        <v>19</v>
      </c>
      <c r="J627" s="56" t="s">
        <v>19</v>
      </c>
      <c r="K627" s="55" t="str">
        <f t="shared" si="46"/>
        <v>International</v>
      </c>
      <c r="M627" s="40"/>
    </row>
    <row r="628" hidden="1">
      <c r="A628" s="29"/>
      <c r="B628" s="53" t="str">
        <f>IFERROR(__xludf.DUMMYFUNCTION("""COMPUTED_VALUE"""),"Patient [OMRSE:00000030]                    ")</f>
        <v>Patient [OMRSE:00000030]                    </v>
      </c>
      <c r="C628" s="29" t="str">
        <f>IFERROR(__xludf.DUMMYFUNCTION("""COMPUTED_VALUE"""),"OMRSE:00000030")</f>
        <v>OMRSE:00000030</v>
      </c>
      <c r="D628" s="29" t="str">
        <f>IFERROR(__xludf.DUMMYFUNCTION("""COMPUTED_VALUE"""),"A patient role that inheres in a human being.")</f>
        <v>A patient role that inheres in a human being.</v>
      </c>
      <c r="E628" s="29"/>
      <c r="F628" s="29"/>
      <c r="G628" s="29"/>
      <c r="H628" s="56" t="s">
        <v>19</v>
      </c>
      <c r="I628" s="56" t="s">
        <v>19</v>
      </c>
      <c r="J628" s="56" t="s">
        <v>19</v>
      </c>
      <c r="K628" s="55" t="str">
        <f t="shared" si="46"/>
        <v>International</v>
      </c>
      <c r="M628" s="40"/>
    </row>
    <row r="629" hidden="1">
      <c r="A629" s="29"/>
      <c r="B629" s="53" t="str">
        <f>IFERROR(__xludf.DUMMYFUNCTION("""COMPUTED_VALUE"""),"     Inpatient [NCIT:C25182]               ")</f>
        <v>     Inpatient [NCIT:C25182]               </v>
      </c>
      <c r="C629" s="29" t="str">
        <f>IFERROR(__xludf.DUMMYFUNCTION("""COMPUTED_VALUE"""),"NCIT:C25182")</f>
        <v>NCIT:C25182</v>
      </c>
      <c r="D629" s="29" t="str">
        <f>IFERROR(__xludf.DUMMYFUNCTION("""COMPUTED_VALUE"""),"A patient who is residing in the hospital where he is being treated.")</f>
        <v>A patient who is residing in the hospital where he is being treated.</v>
      </c>
      <c r="E629" s="29"/>
      <c r="F629" s="29"/>
      <c r="G629" s="29"/>
      <c r="H629" s="56" t="s">
        <v>19</v>
      </c>
      <c r="I629" s="56" t="s">
        <v>19</v>
      </c>
      <c r="J629" s="56" t="s">
        <v>19</v>
      </c>
      <c r="K629" s="55" t="str">
        <f t="shared" si="46"/>
        <v>International</v>
      </c>
      <c r="M629" s="40"/>
    </row>
    <row r="630" hidden="1">
      <c r="A630" s="29"/>
      <c r="B630" s="53" t="str">
        <f>IFERROR(__xludf.DUMMYFUNCTION("""COMPUTED_VALUE"""),"     Outpatient [NCIT:C28293]               ")</f>
        <v>     Outpatient [NCIT:C28293]               </v>
      </c>
      <c r="C630" s="29" t="str">
        <f>IFERROR(__xludf.DUMMYFUNCTION("""COMPUTED_VALUE"""),"NCIT:C28293")</f>
        <v>NCIT:C28293</v>
      </c>
      <c r="D630" s="29" t="str">
        <f>IFERROR(__xludf.DUMMYFUNCTION("""COMPUTED_VALUE"""),"A patient who comes to a healthcare facility for diagnosis or treatment but is not admitted for an overnight stay.")</f>
        <v>A patient who comes to a healthcare facility for diagnosis or treatment but is not admitted for an overnight stay.</v>
      </c>
      <c r="E630" s="29"/>
      <c r="F630" s="29"/>
      <c r="G630" s="29"/>
      <c r="H630" s="56" t="s">
        <v>19</v>
      </c>
      <c r="I630" s="56" t="s">
        <v>19</v>
      </c>
      <c r="J630" s="56" t="s">
        <v>19</v>
      </c>
      <c r="K630" s="55" t="str">
        <f t="shared" si="46"/>
        <v>International</v>
      </c>
      <c r="M630" s="40"/>
    </row>
    <row r="631" hidden="1">
      <c r="A631" s="29"/>
      <c r="B631" s="53" t="str">
        <f>IFERROR(__xludf.DUMMYFUNCTION("""COMPUTED_VALUE"""),"Passenger [GENEPIO:0100250]                    ")</f>
        <v>Passenger [GENEPIO:0100250]                    </v>
      </c>
      <c r="C631" s="29" t="str">
        <f>IFERROR(__xludf.DUMMYFUNCTION("""COMPUTED_VALUE"""),"GENEPIO:0100250")</f>
        <v>GENEPIO:0100250</v>
      </c>
      <c r="D631" s="29" t="str">
        <f>IFERROR(__xludf.DUMMYFUNCTION("""COMPUTED_VALUE"""),"A role inhering in a person that is realized when the bearer travels in a vehicle but bears little to no responsibility for vehicle operation nor arrival at its destination.")</f>
        <v>A role inhering in a person that is realized when the bearer travels in a vehicle but bears little to no responsibility for vehicle operation nor arrival at its destination.</v>
      </c>
      <c r="E631" s="29"/>
      <c r="F631" s="29"/>
      <c r="G631" s="29"/>
      <c r="H631" s="56" t="s">
        <v>19</v>
      </c>
      <c r="I631" s="56" t="s">
        <v>19</v>
      </c>
      <c r="J631" s="56" t="s">
        <v>19</v>
      </c>
      <c r="K631" s="55" t="str">
        <f t="shared" si="46"/>
        <v>International</v>
      </c>
      <c r="M631" s="40"/>
    </row>
    <row r="632" hidden="1">
      <c r="A632" s="29"/>
      <c r="B632" s="53" t="str">
        <f>IFERROR(__xludf.DUMMYFUNCTION("""COMPUTED_VALUE"""),"Resident [GENEPIO:0100251]                    ")</f>
        <v>Resident [GENEPIO:0100251]                    </v>
      </c>
      <c r="C632" s="29" t="str">
        <f>IFERROR(__xludf.DUMMYFUNCTION("""COMPUTED_VALUE"""),"GENEPIO:0100251")</f>
        <v>GENEPIO:0100251</v>
      </c>
      <c r="D632" s="29" t="str">
        <f>IFERROR(__xludf.DUMMYFUNCTION("""COMPUTED_VALUE"""),"A role inhering in a person that is realized when the bearer maintains residency in a given place.")</f>
        <v>A role inhering in a person that is realized when the bearer maintains residency in a given place.</v>
      </c>
      <c r="E632" s="29"/>
      <c r="F632" s="29"/>
      <c r="G632" s="29"/>
      <c r="H632" s="56" t="s">
        <v>19</v>
      </c>
      <c r="I632" s="56" t="s">
        <v>19</v>
      </c>
      <c r="J632" s="56" t="s">
        <v>19</v>
      </c>
      <c r="K632" s="55" t="str">
        <f t="shared" si="46"/>
        <v>International</v>
      </c>
      <c r="M632" s="40"/>
    </row>
    <row r="633" hidden="1">
      <c r="A633" s="29"/>
      <c r="B633" s="53" t="str">
        <f>IFERROR(__xludf.DUMMYFUNCTION("""COMPUTED_VALUE"""),"Visitor [GENEPIO:0100252]                    ")</f>
        <v>Visitor [GENEPIO:0100252]                    </v>
      </c>
      <c r="C633" s="29" t="str">
        <f>IFERROR(__xludf.DUMMYFUNCTION("""COMPUTED_VALUE"""),"GENEPIO:0100252")</f>
        <v>GENEPIO:0100252</v>
      </c>
      <c r="D633" s="29" t="str">
        <f>IFERROR(__xludf.DUMMYFUNCTION("""COMPUTED_VALUE"""),"A role inhering in a person that is realized when the bearer pays a visit to a specific place or event.")</f>
        <v>A role inhering in a person that is realized when the bearer pays a visit to a specific place or event.</v>
      </c>
      <c r="E633" s="29"/>
      <c r="F633" s="29"/>
      <c r="G633" s="29"/>
      <c r="H633" s="56" t="s">
        <v>19</v>
      </c>
      <c r="I633" s="56" t="s">
        <v>19</v>
      </c>
      <c r="J633" s="56" t="s">
        <v>19</v>
      </c>
      <c r="K633" s="55" t="str">
        <f t="shared" si="46"/>
        <v>International</v>
      </c>
      <c r="M633" s="40"/>
    </row>
    <row r="634" hidden="1">
      <c r="A634" s="29"/>
      <c r="B634" s="53" t="str">
        <f>IFERROR(__xludf.DUMMYFUNCTION("""COMPUTED_VALUE"""),"Volunteer [GENEPIO:0100253]                    ")</f>
        <v>Volunteer [GENEPIO:0100253]                    </v>
      </c>
      <c r="C634" s="29" t="str">
        <f>IFERROR(__xludf.DUMMYFUNCTION("""COMPUTED_VALUE"""),"GENEPIO:0100253")</f>
        <v>GENEPIO:0100253</v>
      </c>
      <c r="D634" s="29" t="str">
        <f>IFERROR(__xludf.DUMMYFUNCTION("""COMPUTED_VALUE"""),"A role inhering in a person that is realized when the bearer enters into any service of their own free will.")</f>
        <v>A role inhering in a person that is realized when the bearer enters into any service of their own free will.</v>
      </c>
      <c r="E634" s="29"/>
      <c r="F634" s="29"/>
      <c r="G634" s="29"/>
      <c r="H634" s="56" t="s">
        <v>19</v>
      </c>
      <c r="I634" s="56" t="s">
        <v>19</v>
      </c>
      <c r="J634" s="56" t="s">
        <v>19</v>
      </c>
      <c r="K634" s="55" t="str">
        <f t="shared" si="46"/>
        <v>International</v>
      </c>
      <c r="M634" s="40"/>
    </row>
    <row r="635" hidden="1">
      <c r="A635" s="29"/>
      <c r="B635" s="53" t="str">
        <f>IFERROR(__xludf.DUMMYFUNCTION("""COMPUTED_VALUE"""),"Work [GENEPIO:0100254]                    ")</f>
        <v>Work [GENEPIO:0100254]                    </v>
      </c>
      <c r="C635" s="29" t="str">
        <f>IFERROR(__xludf.DUMMYFUNCTION("""COMPUTED_VALUE"""),"GENEPIO:0100254")</f>
        <v>GENEPIO:0100254</v>
      </c>
      <c r="D635" s="29" t="str">
        <f>IFERROR(__xludf.DUMMYFUNCTION("""COMPUTED_VALUE"""),"A role inhering in a person that is realized when the bearer performs labor for a living.")</f>
        <v>A role inhering in a person that is realized when the bearer performs labor for a living.</v>
      </c>
      <c r="E635" s="29"/>
      <c r="F635" s="29"/>
      <c r="G635" s="29"/>
      <c r="H635" s="56" t="s">
        <v>19</v>
      </c>
      <c r="I635" s="56" t="s">
        <v>19</v>
      </c>
      <c r="J635" s="56" t="s">
        <v>19</v>
      </c>
      <c r="K635" s="55" t="str">
        <f t="shared" si="46"/>
        <v>International</v>
      </c>
      <c r="M635" s="40"/>
    </row>
    <row r="636" hidden="1">
      <c r="A636" s="29"/>
      <c r="B636" s="53" t="str">
        <f>IFERROR(__xludf.DUMMYFUNCTION("""COMPUTED_VALUE"""),"     Administrator [GENEPIO:0100255]               ")</f>
        <v>     Administrator [GENEPIO:0100255]               </v>
      </c>
      <c r="C636" s="29" t="str">
        <f>IFERROR(__xludf.DUMMYFUNCTION("""COMPUTED_VALUE"""),"GENEPIO:0100255")</f>
        <v>GENEPIO:0100255</v>
      </c>
      <c r="D636" s="29" t="str">
        <f>IFERROR(__xludf.DUMMYFUNCTION("""COMPUTED_VALUE"""),"A role inhering in a person that is realized when the bearer is engaged in administration or administrative work.")</f>
        <v>A role inhering in a person that is realized when the bearer is engaged in administration or administrative work.</v>
      </c>
      <c r="E636" s="29"/>
      <c r="F636" s="29"/>
      <c r="G636" s="29"/>
      <c r="H636" s="56" t="s">
        <v>19</v>
      </c>
      <c r="I636" s="56" t="s">
        <v>19</v>
      </c>
      <c r="J636" s="56" t="s">
        <v>19</v>
      </c>
      <c r="K636" s="55" t="str">
        <f t="shared" si="46"/>
        <v>International</v>
      </c>
      <c r="M636" s="40"/>
    </row>
    <row r="637" hidden="1">
      <c r="A637" s="29"/>
      <c r="B637" s="53" t="str">
        <f>IFERROR(__xludf.DUMMYFUNCTION("""COMPUTED_VALUE"""),"     First Responder [GENEPIO:0100256]               ")</f>
        <v>     First Responder [GENEPIO:0100256]               </v>
      </c>
      <c r="C637" s="29" t="str">
        <f>IFERROR(__xludf.DUMMYFUNCTION("""COMPUTED_VALUE"""),"GENEPIO:0100256")</f>
        <v>GENEPIO:0100256</v>
      </c>
      <c r="D637" s="29" t="str">
        <f>IFERROR(__xludf.DUMMYFUNCTION("""COMPUTED_VALUE"""),"A role inhering in a person that is realized when the bearer is among the first to arrive at the scene of an emergency and has specialized training to provide assistance.")</f>
        <v>A role inhering in a person that is realized when the bearer is among the first to arrive at the scene of an emergency and has specialized training to provide assistance.</v>
      </c>
      <c r="E637" s="29"/>
      <c r="F637" s="29"/>
      <c r="G637" s="29"/>
      <c r="H637" s="56" t="s">
        <v>19</v>
      </c>
      <c r="I637" s="56" t="s">
        <v>19</v>
      </c>
      <c r="J637" s="56" t="s">
        <v>19</v>
      </c>
      <c r="K637" s="55" t="str">
        <f t="shared" si="46"/>
        <v>International</v>
      </c>
      <c r="M637" s="40"/>
    </row>
    <row r="638" hidden="1">
      <c r="A638" s="29"/>
      <c r="B638" s="53" t="str">
        <f>IFERROR(__xludf.DUMMYFUNCTION("""COMPUTED_VALUE"""),"     Housekeeper [GENEPIO:0100260]               ")</f>
        <v>     Housekeeper [GENEPIO:0100260]               </v>
      </c>
      <c r="C638" s="29" t="str">
        <f>IFERROR(__xludf.DUMMYFUNCTION("""COMPUTED_VALUE"""),"GENEPIO:0100260")</f>
        <v>GENEPIO:0100260</v>
      </c>
      <c r="D638" s="29" t="str">
        <f>IFERROR(__xludf.DUMMYFUNCTION("""COMPUTED_VALUE"""),"A role inhering in a person that is realized when the bearer is an individual who performs cleaning duties and/or is responsible for the supervision of cleaning staff.")</f>
        <v>A role inhering in a person that is realized when the bearer is an individual who performs cleaning duties and/or is responsible for the supervision of cleaning staff.</v>
      </c>
      <c r="E638" s="29"/>
      <c r="F638" s="29"/>
      <c r="G638" s="29"/>
      <c r="H638" s="56" t="s">
        <v>19</v>
      </c>
      <c r="I638" s="56" t="s">
        <v>19</v>
      </c>
      <c r="J638" s="56" t="s">
        <v>19</v>
      </c>
      <c r="K638" s="55" t="str">
        <f t="shared" si="46"/>
        <v>International</v>
      </c>
      <c r="M638" s="40"/>
    </row>
    <row r="639" hidden="1">
      <c r="A639" s="29"/>
      <c r="B639" s="53" t="str">
        <f>IFERROR(__xludf.DUMMYFUNCTION("""COMPUTED_VALUE"""),"     Kitchen Worker [GENEPIO:0100261]               ")</f>
        <v>     Kitchen Worker [GENEPIO:0100261]               </v>
      </c>
      <c r="C639" s="29" t="str">
        <f>IFERROR(__xludf.DUMMYFUNCTION("""COMPUTED_VALUE"""),"GENEPIO:0100261")</f>
        <v>GENEPIO:0100261</v>
      </c>
      <c r="D639" s="29" t="str">
        <f>IFERROR(__xludf.DUMMYFUNCTION("""COMPUTED_VALUE"""),"A role inhering in a person that is realized when the bearer is an employee that performs labor in a kitchen.")</f>
        <v>A role inhering in a person that is realized when the bearer is an employee that performs labor in a kitchen.</v>
      </c>
      <c r="E639" s="29"/>
      <c r="F639" s="29"/>
      <c r="G639" s="29"/>
      <c r="H639" s="56" t="s">
        <v>19</v>
      </c>
      <c r="I639" s="56" t="s">
        <v>19</v>
      </c>
      <c r="J639" s="56" t="s">
        <v>19</v>
      </c>
      <c r="K639" s="55" t="str">
        <f t="shared" si="46"/>
        <v>International</v>
      </c>
      <c r="M639" s="40"/>
    </row>
    <row r="640" hidden="1">
      <c r="A640" s="29"/>
      <c r="B640" s="53" t="str">
        <f>IFERROR(__xludf.DUMMYFUNCTION("""COMPUTED_VALUE"""),"     Healthcare Worker [GENEPIO:0100334]               ")</f>
        <v>     Healthcare Worker [GENEPIO:0100334]               </v>
      </c>
      <c r="C640" s="29" t="str">
        <f>IFERROR(__xludf.DUMMYFUNCTION("""COMPUTED_VALUE"""),"GENEPIO:0100334")</f>
        <v>GENEPIO:0100334</v>
      </c>
      <c r="D640" s="29" t="str">
        <f>IFERROR(__xludf.DUMMYFUNCTION("""COMPUTED_VALUE"""),"A role inhering in a person that is realized when the bearer is an employee that performs labor in a healthcare setting.")</f>
        <v>A role inhering in a person that is realized when the bearer is an employee that performs labor in a healthcare setting.</v>
      </c>
      <c r="E640" s="29"/>
      <c r="F640" s="29"/>
      <c r="G640" s="29"/>
      <c r="H640" s="56" t="s">
        <v>19</v>
      </c>
      <c r="I640" s="56" t="s">
        <v>19</v>
      </c>
      <c r="J640" s="56" t="s">
        <v>19</v>
      </c>
      <c r="K640" s="55" t="str">
        <f t="shared" si="46"/>
        <v>International</v>
      </c>
      <c r="M640" s="40"/>
    </row>
    <row r="641" hidden="1">
      <c r="A641" s="29"/>
      <c r="B641" s="53" t="str">
        <f>IFERROR(__xludf.DUMMYFUNCTION("""COMPUTED_VALUE"""),"          Community Healthcare Worker [GENEPIO:0100420]          ")</f>
        <v>          Community Healthcare Worker [GENEPIO:0100420]          </v>
      </c>
      <c r="C641" s="29" t="str">
        <f>IFERROR(__xludf.DUMMYFUNCTION("""COMPUTED_VALUE"""),"GENEPIO:0100420")</f>
        <v>GENEPIO:0100420</v>
      </c>
      <c r="D641" s="29" t="str">
        <f>IFERROR(__xludf.DUMMYFUNCTION("""COMPUTED_VALUE"""),"A role inhering in a person that is realized when the bearer a professional caregiver that provides health care or supportive care in the individual home where the patient or client is living, as opposed to care provided in group accommodations like clini"&amp;"cs or nursing home. ")</f>
        <v>A role inhering in a person that is realized when the bearer a professional caregiver that provides health care or supportive care in the individual home where the patient or client is living, as opposed to care provided in group accommodations like clinics or nursing home. </v>
      </c>
      <c r="E641" s="29"/>
      <c r="F641" s="29"/>
      <c r="G641" s="29"/>
      <c r="H641" s="56" t="s">
        <v>19</v>
      </c>
      <c r="I641" s="56" t="s">
        <v>19</v>
      </c>
      <c r="J641" s="56" t="s">
        <v>19</v>
      </c>
      <c r="K641" s="55" t="str">
        <f t="shared" si="46"/>
        <v>International</v>
      </c>
      <c r="M641" s="40"/>
    </row>
    <row r="642" hidden="1">
      <c r="A642" s="29"/>
      <c r="B642" s="53" t="str">
        <f>IFERROR(__xludf.DUMMYFUNCTION("""COMPUTED_VALUE"""),"          Laboratory Worker [GENEPIO:0100262]          ")</f>
        <v>          Laboratory Worker [GENEPIO:0100262]          </v>
      </c>
      <c r="C642" s="29" t="str">
        <f>IFERROR(__xludf.DUMMYFUNCTION("""COMPUTED_VALUE"""),"GENEPIO:0100262")</f>
        <v>GENEPIO:0100262</v>
      </c>
      <c r="D642" s="29" t="str">
        <f>IFERROR(__xludf.DUMMYFUNCTION("""COMPUTED_VALUE"""),"A role inhering in a person that is realized when the bearer is an employee that performs labor in a laboratory.")</f>
        <v>A role inhering in a person that is realized when the bearer is an employee that performs labor in a laboratory.</v>
      </c>
      <c r="E642" s="29"/>
      <c r="F642" s="29"/>
      <c r="G642" s="29"/>
      <c r="H642" s="56" t="s">
        <v>19</v>
      </c>
      <c r="I642" s="56" t="s">
        <v>19</v>
      </c>
      <c r="J642" s="56" t="s">
        <v>19</v>
      </c>
      <c r="K642" s="55" t="str">
        <f t="shared" si="46"/>
        <v>International</v>
      </c>
      <c r="M642" s="40"/>
    </row>
    <row r="643" hidden="1">
      <c r="A643" s="29"/>
      <c r="B643" s="53" t="str">
        <f>IFERROR(__xludf.DUMMYFUNCTION("""COMPUTED_VALUE"""),"          Nurse [OMRSE:00000014]          ")</f>
        <v>          Nurse [OMRSE:00000014]          </v>
      </c>
      <c r="C643" s="29" t="str">
        <f>IFERROR(__xludf.DUMMYFUNCTION("""COMPUTED_VALUE"""),"OMRSE:00000014")</f>
        <v>OMRSE:00000014</v>
      </c>
      <c r="D643" s="29" t="str">
        <f>IFERROR(__xludf.DUMMYFUNCTION("""COMPUTED_VALUE"""),"A health care role borne by a human being and realized by the care of individuals, families, and communities so they may attain, maintain, or recover optimal health and quality of life.")</f>
        <v>A health care role borne by a human being and realized by the care of individuals, families, and communities so they may attain, maintain, or recover optimal health and quality of life.</v>
      </c>
      <c r="E643" s="29"/>
      <c r="F643" s="29"/>
      <c r="G643" s="29"/>
      <c r="H643" s="56" t="s">
        <v>19</v>
      </c>
      <c r="I643" s="56" t="s">
        <v>19</v>
      </c>
      <c r="J643" s="56" t="s">
        <v>19</v>
      </c>
      <c r="K643" s="55" t="str">
        <f t="shared" si="46"/>
        <v>International</v>
      </c>
      <c r="M643" s="40"/>
    </row>
    <row r="644" hidden="1">
      <c r="A644" s="29"/>
      <c r="B644" s="53" t="str">
        <f>IFERROR(__xludf.DUMMYFUNCTION("""COMPUTED_VALUE"""),"          Personal Care Aid [GENEPIO:0100263]          ")</f>
        <v>          Personal Care Aid [GENEPIO:0100263]          </v>
      </c>
      <c r="C644" s="29" t="str">
        <f>IFERROR(__xludf.DUMMYFUNCTION("""COMPUTED_VALUE"""),"GENEPIO:0100263")</f>
        <v>GENEPIO:0100263</v>
      </c>
      <c r="D644" s="29" t="str">
        <f>IFERROR(__xludf.DUMMYFUNCTION("""COMPUTED_VALUE"""),"A role inhering in a person that is realized when the bearer works to help another person complete their daily activities.")</f>
        <v>A role inhering in a person that is realized when the bearer works to help another person complete their daily activities.</v>
      </c>
      <c r="E644" s="29"/>
      <c r="F644" s="29"/>
      <c r="G644" s="29"/>
      <c r="H644" s="56" t="s">
        <v>19</v>
      </c>
      <c r="I644" s="56" t="s">
        <v>19</v>
      </c>
      <c r="J644" s="56" t="s">
        <v>19</v>
      </c>
      <c r="K644" s="55" t="str">
        <f t="shared" si="46"/>
        <v>International</v>
      </c>
      <c r="M644" s="40"/>
    </row>
    <row r="645" hidden="1">
      <c r="A645" s="29"/>
      <c r="B645" s="53" t="str">
        <f>IFERROR(__xludf.DUMMYFUNCTION("""COMPUTED_VALUE"""),"          Pharmacist [GENEPIO:0100264]          ")</f>
        <v>          Pharmacist [GENEPIO:0100264]          </v>
      </c>
      <c r="C645" s="29" t="str">
        <f>IFERROR(__xludf.DUMMYFUNCTION("""COMPUTED_VALUE"""),"GENEPIO:0100264")</f>
        <v>GENEPIO:0100264</v>
      </c>
      <c r="D645" s="29" t="str">
        <f>IFERROR(__xludf.DUMMYFUNCTION("""COMPUTED_VALUE"""),"A role inhering in a person that is realized when the bearer is a health professional who specializes in dispensing prescription drugs at a healthcare facility.")</f>
        <v>A role inhering in a person that is realized when the bearer is a health professional who specializes in dispensing prescription drugs at a healthcare facility.</v>
      </c>
      <c r="E645" s="29"/>
      <c r="F645" s="29"/>
      <c r="G645" s="29"/>
      <c r="H645" s="56" t="s">
        <v>19</v>
      </c>
      <c r="I645" s="56" t="s">
        <v>19</v>
      </c>
      <c r="J645" s="56" t="s">
        <v>19</v>
      </c>
      <c r="K645" s="55" t="str">
        <f t="shared" si="46"/>
        <v>International</v>
      </c>
      <c r="M645" s="40"/>
    </row>
    <row r="646" hidden="1">
      <c r="A646" s="29"/>
      <c r="B646" s="53" t="str">
        <f>IFERROR(__xludf.DUMMYFUNCTION("""COMPUTED_VALUE"""),"          Physician [OMRSE:00000013]          ")</f>
        <v>          Physician [OMRSE:00000013]          </v>
      </c>
      <c r="C646" s="29" t="str">
        <f>IFERROR(__xludf.DUMMYFUNCTION("""COMPUTED_VALUE"""),"OMRSE:00000013")</f>
        <v>OMRSE:00000013</v>
      </c>
      <c r="D646" s="29" t="str">
        <f>IFERROR(__xludf.DUMMYFUNCTION("""COMPUTED_VALUE"""),"A health care role borne by a human being and realized by promoting, maintaining or restoring human health through the study, diagnosis, and treatment of disease, injury and other physical and mental impairments.")</f>
        <v>A health care role borne by a human being and realized by promoting, maintaining or restoring human health through the study, diagnosis, and treatment of disease, injury and other physical and mental impairments.</v>
      </c>
      <c r="E646" s="29"/>
      <c r="F646" s="29"/>
      <c r="G646" s="29"/>
      <c r="H646" s="56" t="s">
        <v>19</v>
      </c>
      <c r="I646" s="56" t="s">
        <v>19</v>
      </c>
      <c r="J646" s="56" t="s">
        <v>19</v>
      </c>
      <c r="K646" s="55" t="str">
        <f t="shared" si="46"/>
        <v>International</v>
      </c>
      <c r="M646" s="40"/>
    </row>
    <row r="647" hidden="1">
      <c r="A647" s="29"/>
      <c r="B647" s="53" t="str">
        <f>IFERROR(__xludf.DUMMYFUNCTION("""COMPUTED_VALUE"""),"     Rotational Worker [GENEPIO:0100354]               ")</f>
        <v>     Rotational Worker [GENEPIO:0100354]               </v>
      </c>
      <c r="C647" s="29" t="str">
        <f>IFERROR(__xludf.DUMMYFUNCTION("""COMPUTED_VALUE"""),"GENEPIO:0100354")</f>
        <v>GENEPIO:0100354</v>
      </c>
      <c r="D647" s="29" t="str">
        <f>IFERROR(__xludf.DUMMYFUNCTION("""COMPUTED_VALUE"""),"A role inhering in a person that is realized when the bearer performs labor on a regular schedule, often requiring travel to geographic locations other than where they live.")</f>
        <v>A role inhering in a person that is realized when the bearer performs labor on a regular schedule, often requiring travel to geographic locations other than where they live.</v>
      </c>
      <c r="E647" s="29"/>
      <c r="F647" s="29"/>
      <c r="G647" s="29"/>
      <c r="H647" s="56" t="s">
        <v>19</v>
      </c>
      <c r="I647" s="56" t="s">
        <v>19</v>
      </c>
      <c r="J647" s="56" t="s">
        <v>19</v>
      </c>
      <c r="K647" s="55" t="str">
        <f t="shared" si="46"/>
        <v>International</v>
      </c>
      <c r="M647" s="40"/>
    </row>
    <row r="648" hidden="1">
      <c r="A648" s="29"/>
      <c r="B648" s="53" t="str">
        <f>IFERROR(__xludf.DUMMYFUNCTION("""COMPUTED_VALUE"""),"     Seasonal Worker [GENEPIO:0100355]               ")</f>
        <v>     Seasonal Worker [GENEPIO:0100355]               </v>
      </c>
      <c r="C648" s="29" t="str">
        <f>IFERROR(__xludf.DUMMYFUNCTION("""COMPUTED_VALUE"""),"GENEPIO:0100355")</f>
        <v>GENEPIO:0100355</v>
      </c>
      <c r="D648" s="29" t="str">
        <f>IFERROR(__xludf.DUMMYFUNCTION("""COMPUTED_VALUE"""),"A role inhering in a person that is realized when the bearer performs labor for a particular period of the year, such as harvest, or Christmas.")</f>
        <v>A role inhering in a person that is realized when the bearer performs labor for a particular period of the year, such as harvest, or Christmas.</v>
      </c>
      <c r="E648" s="29"/>
      <c r="F648" s="29"/>
      <c r="G648" s="29"/>
      <c r="H648" s="56" t="s">
        <v>19</v>
      </c>
      <c r="I648" s="56" t="s">
        <v>19</v>
      </c>
      <c r="J648" s="56" t="s">
        <v>19</v>
      </c>
      <c r="K648" s="55" t="str">
        <f t="shared" si="46"/>
        <v>International</v>
      </c>
      <c r="M648" s="40"/>
    </row>
    <row r="649" hidden="1">
      <c r="A649" s="29"/>
      <c r="B649" s="53" t="str">
        <f>IFERROR(__xludf.DUMMYFUNCTION("""COMPUTED_VALUE"""),"     Sex Worker [GSSO:005831]               ")</f>
        <v>     Sex Worker [GSSO:005831]               </v>
      </c>
      <c r="C649" s="29" t="str">
        <f>IFERROR(__xludf.DUMMYFUNCTION("""COMPUTED_VALUE"""),"GSSO:005831")</f>
        <v>GSSO:005831</v>
      </c>
      <c r="D649" s="29" t="str">
        <f>IFERROR(__xludf.DUMMYFUNCTION("""COMPUTED_VALUE"""),"A person who supplies sex work (some form of sexual services) in exchange for compensation. This term is promoted along with the idea that what has previously been termed prostitution should be recognized as work on equal terms with that of conventional j"&amp;"obs, with the legal implications this has. It is sometimes regarded as a less offensive alternative to prostitute, although ""sex worker"" has a much broader meaning.")</f>
        <v>A person who supplies sex work (some form of sexual services) in exchange for compensation. This term is promoted along with the idea that what has previously been termed prostitution should be recognized as work on equal terms with that of conventional jobs, with the legal implications this has. It is sometimes regarded as a less offensive alternative to prostitute, although "sex worker" has a much broader meaning.</v>
      </c>
      <c r="E649" s="29"/>
      <c r="F649" s="29"/>
      <c r="G649" s="29"/>
      <c r="H649" s="56" t="s">
        <v>19</v>
      </c>
      <c r="I649" s="56" t="s">
        <v>19</v>
      </c>
      <c r="J649" s="56" t="s">
        <v>19</v>
      </c>
      <c r="K649" s="55" t="str">
        <f t="shared" si="46"/>
        <v>International</v>
      </c>
      <c r="M649" s="40"/>
    </row>
    <row r="650" hidden="1">
      <c r="A650" s="29"/>
      <c r="B650" s="53" t="str">
        <f>IFERROR(__xludf.DUMMYFUNCTION("""COMPUTED_VALUE"""),"     Veterinarian [GENEPIO:0100265]               ")</f>
        <v>     Veterinarian [GENEPIO:0100265]               </v>
      </c>
      <c r="C650" s="29" t="str">
        <f>IFERROR(__xludf.DUMMYFUNCTION("""COMPUTED_VALUE"""),"GENEPIO:0100265")</f>
        <v>GENEPIO:0100265</v>
      </c>
      <c r="D650" s="29" t="str">
        <f>IFERROR(__xludf.DUMMYFUNCTION("""COMPUTED_VALUE"""),"A role inhering in a person that is realized when the bearer is a professional who practices veterinary medicine.")</f>
        <v>A role inhering in a person that is realized when the bearer is a professional who practices veterinary medicine.</v>
      </c>
      <c r="E650" s="29"/>
      <c r="F650" s="29"/>
      <c r="G650" s="29"/>
      <c r="H650" s="56" t="s">
        <v>19</v>
      </c>
      <c r="I650" s="56" t="s">
        <v>19</v>
      </c>
      <c r="J650" s="56" t="s">
        <v>19</v>
      </c>
      <c r="K650" s="55" t="str">
        <f t="shared" si="46"/>
        <v>International</v>
      </c>
      <c r="M650" s="40"/>
    </row>
    <row r="651" hidden="1">
      <c r="A651" s="34"/>
      <c r="B651" s="53" t="str">
        <f>IFERROR(__xludf.DUMMYFUNCTION("""COMPUTED_VALUE"""),"Social role [OMRSE:00000001]                    ")</f>
        <v>Social role [OMRSE:00000001]                    </v>
      </c>
      <c r="C651" s="34" t="str">
        <f>IFERROR(__xludf.DUMMYFUNCTION("""COMPUTED_VALUE"""),"OMRSE:00000001")</f>
        <v>OMRSE:00000001</v>
      </c>
      <c r="D651" s="29" t="str">
        <f>IFERROR(__xludf.DUMMYFUNCTION("""COMPUTED_VALUE"""),"A social role inhering in a human being.")</f>
        <v>A social role inhering in a human being.</v>
      </c>
      <c r="K651" s="55" t="str">
        <f t="shared" si="46"/>
        <v>International</v>
      </c>
      <c r="M651" s="40"/>
    </row>
    <row r="652" hidden="1">
      <c r="A652" s="34"/>
      <c r="B652" s="53" t="str">
        <f>IFERROR(__xludf.DUMMYFUNCTION("""COMPUTED_VALUE"""),"     Acquaintance of case [GENEPIO:0100266]               ")</f>
        <v>     Acquaintance of case [GENEPIO:0100266]               </v>
      </c>
      <c r="C652" s="34" t="str">
        <f>IFERROR(__xludf.DUMMYFUNCTION("""COMPUTED_VALUE"""),"GENEPIO:0100266")</f>
        <v>GENEPIO:0100266</v>
      </c>
      <c r="D652" s="29" t="str">
        <f>IFERROR(__xludf.DUMMYFUNCTION("""COMPUTED_VALUE"""),"A role inhering in a person that is realized when the bearer is in a state of being acquainted with a person.")</f>
        <v>A role inhering in a person that is realized when the bearer is in a state of being acquainted with a person.</v>
      </c>
      <c r="H652" s="55" t="s">
        <v>19</v>
      </c>
      <c r="I652" s="55" t="s">
        <v>19</v>
      </c>
      <c r="J652" s="55" t="s">
        <v>19</v>
      </c>
      <c r="K652" s="55" t="str">
        <f t="shared" si="46"/>
        <v>International</v>
      </c>
      <c r="M652" s="40"/>
    </row>
    <row r="653" hidden="1">
      <c r="A653" s="34"/>
      <c r="B653" s="53" t="str">
        <f>IFERROR(__xludf.DUMMYFUNCTION("""COMPUTED_VALUE"""),"     Relative of case [GENEPIO:0100267]               ")</f>
        <v>     Relative of case [GENEPIO:0100267]               </v>
      </c>
      <c r="C653" s="34" t="str">
        <f>IFERROR(__xludf.DUMMYFUNCTION("""COMPUTED_VALUE"""),"GENEPIO:0100267")</f>
        <v>GENEPIO:0100267</v>
      </c>
      <c r="D653" s="29" t="str">
        <f>IFERROR(__xludf.DUMMYFUNCTION("""COMPUTED_VALUE"""),"A role inhering in a person that is realized when the bearer is a relative of the case.")</f>
        <v>A role inhering in a person that is realized when the bearer is a relative of the case.</v>
      </c>
      <c r="H653" s="55" t="s">
        <v>19</v>
      </c>
      <c r="I653" s="55" t="s">
        <v>19</v>
      </c>
      <c r="J653" s="55" t="s">
        <v>19</v>
      </c>
      <c r="K653" s="55" t="str">
        <f t="shared" si="46"/>
        <v>International</v>
      </c>
      <c r="M653" s="40"/>
    </row>
    <row r="654" hidden="1">
      <c r="A654" s="34"/>
      <c r="B654" s="53" t="str">
        <f>IFERROR(__xludf.DUMMYFUNCTION("""COMPUTED_VALUE"""),"          Child of case [GENEPIO:0100268]          ")</f>
        <v>          Child of case [GENEPIO:0100268]          </v>
      </c>
      <c r="C654" s="34" t="str">
        <f>IFERROR(__xludf.DUMMYFUNCTION("""COMPUTED_VALUE"""),"GENEPIO:0100268")</f>
        <v>GENEPIO:0100268</v>
      </c>
      <c r="D654" s="29" t="str">
        <f>IFERROR(__xludf.DUMMYFUNCTION("""COMPUTED_VALUE"""),"A role inhering in a person that is realized when the bearer is a person younger than the age of majority.")</f>
        <v>A role inhering in a person that is realized when the bearer is a person younger than the age of majority.</v>
      </c>
      <c r="H654" s="55" t="s">
        <v>19</v>
      </c>
      <c r="I654" s="55" t="s">
        <v>19</v>
      </c>
      <c r="J654" s="55" t="s">
        <v>19</v>
      </c>
      <c r="K654" s="55" t="str">
        <f t="shared" si="46"/>
        <v>International</v>
      </c>
      <c r="M654" s="40"/>
    </row>
    <row r="655" hidden="1">
      <c r="A655" s="34"/>
      <c r="B655" s="53" t="str">
        <f>IFERROR(__xludf.DUMMYFUNCTION("""COMPUTED_VALUE"""),"          Parent of case [GENEPIO:0100269]          ")</f>
        <v>          Parent of case [GENEPIO:0100269]          </v>
      </c>
      <c r="C655" s="34" t="str">
        <f>IFERROR(__xludf.DUMMYFUNCTION("""COMPUTED_VALUE"""),"GENEPIO:0100269")</f>
        <v>GENEPIO:0100269</v>
      </c>
      <c r="D655" s="29" t="str">
        <f>IFERROR(__xludf.DUMMYFUNCTION("""COMPUTED_VALUE"""),"A role inhering in a person that is realized when the bearer is a caregiver of the offspring of their own species.")</f>
        <v>A role inhering in a person that is realized when the bearer is a caregiver of the offspring of their own species.</v>
      </c>
      <c r="H655" s="55" t="s">
        <v>19</v>
      </c>
      <c r="I655" s="55" t="s">
        <v>19</v>
      </c>
      <c r="J655" s="55" t="s">
        <v>19</v>
      </c>
      <c r="K655" s="55" t="str">
        <f t="shared" si="46"/>
        <v>International</v>
      </c>
      <c r="M655" s="40"/>
    </row>
    <row r="656" hidden="1">
      <c r="A656" s="34"/>
      <c r="B656" s="53" t="str">
        <f>IFERROR(__xludf.DUMMYFUNCTION("""COMPUTED_VALUE"""),"               Father of case [GENEPIO:0100270]     ")</f>
        <v>               Father of case [GENEPIO:0100270]     </v>
      </c>
      <c r="C656" s="34" t="str">
        <f>IFERROR(__xludf.DUMMYFUNCTION("""COMPUTED_VALUE"""),"GENEPIO:0100270")</f>
        <v>GENEPIO:0100270</v>
      </c>
      <c r="D656" s="29" t="str">
        <f>IFERROR(__xludf.DUMMYFUNCTION("""COMPUTED_VALUE"""),"A role inhering in a person that is realized when the bearer is the male parent of a child.")</f>
        <v>A role inhering in a person that is realized when the bearer is the male parent of a child.</v>
      </c>
      <c r="H656" s="55" t="s">
        <v>19</v>
      </c>
      <c r="I656" s="55" t="s">
        <v>19</v>
      </c>
      <c r="J656" s="55" t="s">
        <v>19</v>
      </c>
      <c r="K656" s="55" t="str">
        <f t="shared" si="46"/>
        <v>International</v>
      </c>
      <c r="M656" s="40"/>
    </row>
    <row r="657" hidden="1">
      <c r="A657" s="34"/>
      <c r="B657" s="53" t="str">
        <f>IFERROR(__xludf.DUMMYFUNCTION("""COMPUTED_VALUE"""),"               Mother of case [GENEPIO:0100271]     ")</f>
        <v>               Mother of case [GENEPIO:0100271]     </v>
      </c>
      <c r="C657" s="34" t="str">
        <f>IFERROR(__xludf.DUMMYFUNCTION("""COMPUTED_VALUE"""),"GENEPIO:0100271")</f>
        <v>GENEPIO:0100271</v>
      </c>
      <c r="D657" s="29" t="str">
        <f>IFERROR(__xludf.DUMMYFUNCTION("""COMPUTED_VALUE"""),"A role inhering in a person that is realized when the bearer is the female parent of a child.")</f>
        <v>A role inhering in a person that is realized when the bearer is the female parent of a child.</v>
      </c>
      <c r="H657" s="55" t="s">
        <v>19</v>
      </c>
      <c r="I657" s="55" t="s">
        <v>19</v>
      </c>
      <c r="J657" s="55" t="s">
        <v>19</v>
      </c>
      <c r="K657" s="55" t="str">
        <f t="shared" si="46"/>
        <v>International</v>
      </c>
      <c r="M657" s="40"/>
    </row>
    <row r="658" hidden="1">
      <c r="A658" s="34"/>
      <c r="B658" s="53" t="str">
        <f>IFERROR(__xludf.DUMMYFUNCTION("""COMPUTED_VALUE"""),"     Sexual partner of case [GENEPIO:0100500]               ")</f>
        <v>     Sexual partner of case [GENEPIO:0100500]               </v>
      </c>
      <c r="C658" s="34" t="str">
        <f>IFERROR(__xludf.DUMMYFUNCTION("""COMPUTED_VALUE"""),"GENEPIO:0100500")</f>
        <v>GENEPIO:0100500</v>
      </c>
      <c r="D658" s="29" t="str">
        <f>IFERROR(__xludf.DUMMYFUNCTION("""COMPUTED_VALUE"""),"A role inhering in a person that is realized when the bearer is a sexual partner of the case.")</f>
        <v>A role inhering in a person that is realized when the bearer is a sexual partner of the case.</v>
      </c>
      <c r="H658" s="55" t="s">
        <v>19</v>
      </c>
      <c r="I658" s="55" t="s">
        <v>19</v>
      </c>
      <c r="J658" s="55" t="s">
        <v>19</v>
      </c>
      <c r="K658" s="55" t="str">
        <f t="shared" si="46"/>
        <v>International</v>
      </c>
      <c r="M658" s="40"/>
    </row>
    <row r="659" hidden="1">
      <c r="A659" s="34"/>
      <c r="B659" s="53" t="str">
        <f>IFERROR(__xludf.DUMMYFUNCTION("""COMPUTED_VALUE"""),"     Spouse of case [GENEPIO:0100272]               ")</f>
        <v>     Spouse of case [GENEPIO:0100272]               </v>
      </c>
      <c r="C659" s="34" t="str">
        <f>IFERROR(__xludf.DUMMYFUNCTION("""COMPUTED_VALUE"""),"GENEPIO:0100272")</f>
        <v>GENEPIO:0100272</v>
      </c>
      <c r="D659" s="29" t="str">
        <f>IFERROR(__xludf.DUMMYFUNCTION("""COMPUTED_VALUE"""),"A role inhering in a person that is realized when the bearer is a significant other in a marriage, civil union, or common-law marriage.")</f>
        <v>A role inhering in a person that is realized when the bearer is a significant other in a marriage, civil union, or common-law marriage.</v>
      </c>
      <c r="H659" s="55" t="s">
        <v>19</v>
      </c>
      <c r="I659" s="55" t="s">
        <v>19</v>
      </c>
      <c r="J659" s="55" t="s">
        <v>19</v>
      </c>
      <c r="K659" s="55" t="str">
        <f t="shared" si="46"/>
        <v>International</v>
      </c>
      <c r="M659" s="40"/>
    </row>
    <row r="660" hidden="1">
      <c r="A660" s="34"/>
      <c r="B660" s="53" t="str">
        <f>IFERROR(__xludf.DUMMYFUNCTION("""COMPUTED_VALUE"""),"Other Host Role                    ")</f>
        <v>Other Host Role                    </v>
      </c>
      <c r="C660" s="34"/>
      <c r="D660" s="29" t="str">
        <f>IFERROR(__xludf.DUMMYFUNCTION("""COMPUTED_VALUE"""),"")</f>
        <v/>
      </c>
      <c r="H660" s="55" t="s">
        <v>19</v>
      </c>
      <c r="I660" s="55" t="s">
        <v>19</v>
      </c>
      <c r="J660" s="55" t="s">
        <v>19</v>
      </c>
      <c r="K660" s="55" t="str">
        <f t="shared" si="46"/>
        <v>International</v>
      </c>
      <c r="M660" s="40"/>
    </row>
    <row r="661">
      <c r="A661" s="34" t="str">
        <f>IFERROR(__xludf.DUMMYFUNCTION("""COMPUTED_VALUE"""),"exposure setting menu")</f>
        <v>exposure setting menu</v>
      </c>
      <c r="B661" s="53" t="str">
        <f>IFERROR(__xludf.DUMMYFUNCTION("""COMPUTED_VALUE"""),"                    ")</f>
        <v>                    </v>
      </c>
      <c r="C661" s="34"/>
      <c r="D661" s="29" t="str">
        <f>IFERROR(__xludf.DUMMYFUNCTION("""COMPUTED_VALUE"""),"")</f>
        <v/>
      </c>
      <c r="E661" s="34"/>
      <c r="F661" s="34"/>
      <c r="G661" s="34"/>
      <c r="H661" s="55"/>
      <c r="I661" s="55"/>
      <c r="J661" s="55"/>
      <c r="K661" s="55" t="s">
        <v>26</v>
      </c>
      <c r="L661" s="34" t="str">
        <f>LEFT(A661, LEN(A661) - 5)
</f>
        <v>exposure setting</v>
      </c>
      <c r="M661" s="34" t="str">
        <f>VLOOKUP(L661,'Field Reference Guide'!$B$6:$N$220,13,false)</f>
        <v>Mpox</v>
      </c>
    </row>
    <row r="662">
      <c r="A662" s="34"/>
      <c r="B662" s="53" t="str">
        <f>IFERROR(__xludf.DUMMYFUNCTION("""COMPUTED_VALUE"""),"Human Exposure                    ")</f>
        <v>Human Exposure                    </v>
      </c>
      <c r="C662" s="34" t="str">
        <f>IFERROR(__xludf.DUMMYFUNCTION("""COMPUTED_VALUE"""),"ECTO:3000005")</f>
        <v>ECTO:3000005</v>
      </c>
      <c r="D662" s="29" t="str">
        <f>IFERROR(__xludf.DUMMYFUNCTION("""COMPUTED_VALUE"""),"A history of exposure to Homo sapiens.")</f>
        <v>A history of exposure to Homo sapiens.</v>
      </c>
      <c r="H662" s="55" t="s">
        <v>19</v>
      </c>
      <c r="I662" s="55" t="s">
        <v>19</v>
      </c>
      <c r="J662" s="55" t="s">
        <v>19</v>
      </c>
      <c r="K662" s="55" t="str">
        <f t="shared" ref="K662:K722" si="47">K661</f>
        <v>Mpox</v>
      </c>
      <c r="M662" s="57" t="s">
        <v>26</v>
      </c>
    </row>
    <row r="663">
      <c r="A663" s="34"/>
      <c r="B663" s="53" t="str">
        <f>IFERROR(__xludf.DUMMYFUNCTION("""COMPUTED_VALUE"""),"     Contact with Known Monkeypox Case               ")</f>
        <v>     Contact with Known Monkeypox Case               </v>
      </c>
      <c r="C663" s="34" t="str">
        <f>IFERROR(__xludf.DUMMYFUNCTION("""COMPUTED_VALUE"""),"GENEPIO:0100501")</f>
        <v>GENEPIO:0100501</v>
      </c>
      <c r="D663"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H663" s="55" t="s">
        <v>19</v>
      </c>
      <c r="I663" s="55" t="s">
        <v>19</v>
      </c>
      <c r="J663" s="55" t="s">
        <v>19</v>
      </c>
      <c r="K663" s="55" t="str">
        <f t="shared" si="47"/>
        <v>Mpox</v>
      </c>
      <c r="M663" s="40"/>
    </row>
    <row r="664">
      <c r="A664" s="34"/>
      <c r="B664" s="53" t="str">
        <f>IFERROR(__xludf.DUMMYFUNCTION("""COMPUTED_VALUE"""),"     Contact with Patient               ")</f>
        <v>     Contact with Patient               </v>
      </c>
      <c r="C664" s="34" t="str">
        <f>IFERROR(__xludf.DUMMYFUNCTION("""COMPUTED_VALUE"""),"GENEPIO:0100185")</f>
        <v>GENEPIO:0100185</v>
      </c>
      <c r="D664"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H664" s="55" t="s">
        <v>19</v>
      </c>
      <c r="I664" s="55" t="s">
        <v>19</v>
      </c>
      <c r="J664" s="55" t="s">
        <v>19</v>
      </c>
      <c r="K664" s="55" t="str">
        <f t="shared" si="47"/>
        <v>Mpox</v>
      </c>
      <c r="M664" s="40"/>
    </row>
    <row r="665">
      <c r="A665" s="34"/>
      <c r="B665" s="53" t="str">
        <f>IFERROR(__xludf.DUMMYFUNCTION("""COMPUTED_VALUE"""),"     Contact with Probable Monkeypox Case               ")</f>
        <v>     Contact with Probable Monkeypox Case               </v>
      </c>
      <c r="C665" s="34" t="str">
        <f>IFERROR(__xludf.DUMMYFUNCTION("""COMPUTED_VALUE"""),"GENEPIO:0100502")</f>
        <v>GENEPIO:0100502</v>
      </c>
      <c r="D665"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H665" s="55" t="s">
        <v>19</v>
      </c>
      <c r="I665" s="55" t="s">
        <v>19</v>
      </c>
      <c r="J665" s="55" t="s">
        <v>19</v>
      </c>
      <c r="K665" s="55" t="str">
        <f t="shared" si="47"/>
        <v>Mpox</v>
      </c>
      <c r="M665" s="40"/>
    </row>
    <row r="666">
      <c r="A666" s="34"/>
      <c r="B666" s="53" t="str">
        <f>IFERROR(__xludf.DUMMYFUNCTION("""COMPUTED_VALUE"""),"     Contact with Person who Recently Travelled               ")</f>
        <v>     Contact with Person who Recently Travelled               </v>
      </c>
      <c r="C666" s="34" t="str">
        <f>IFERROR(__xludf.DUMMYFUNCTION("""COMPUTED_VALUE"""),"GENEPIO:0100189")</f>
        <v>GENEPIO:0100189</v>
      </c>
      <c r="D666"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H666" s="55" t="s">
        <v>19</v>
      </c>
      <c r="I666" s="55" t="s">
        <v>19</v>
      </c>
      <c r="J666" s="55" t="s">
        <v>19</v>
      </c>
      <c r="K666" s="55" t="str">
        <f t="shared" si="47"/>
        <v>Mpox</v>
      </c>
      <c r="M666" s="40"/>
    </row>
    <row r="667">
      <c r="A667" s="34"/>
      <c r="B667" s="53" t="str">
        <f>IFERROR(__xludf.DUMMYFUNCTION("""COMPUTED_VALUE"""),"Occupational, Residency or Patronage Exposure                    ")</f>
        <v>Occupational, Residency or Patronage Exposure                    </v>
      </c>
      <c r="C667" s="34" t="str">
        <f>IFERROR(__xludf.DUMMYFUNCTION("""COMPUTED_VALUE"""),"GENEPIO:0100190")</f>
        <v>GENEPIO:0100190</v>
      </c>
      <c r="D667"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H667" s="55" t="s">
        <v>19</v>
      </c>
      <c r="I667" s="55" t="s">
        <v>19</v>
      </c>
      <c r="J667" s="55" t="s">
        <v>19</v>
      </c>
      <c r="K667" s="55" t="str">
        <f t="shared" si="47"/>
        <v>Mpox</v>
      </c>
      <c r="M667" s="40"/>
    </row>
    <row r="668">
      <c r="A668" s="34"/>
      <c r="B668" s="53" t="str">
        <f>IFERROR(__xludf.DUMMYFUNCTION("""COMPUTED_VALUE"""),"     Abbatoir               ")</f>
        <v>     Abbatoir               </v>
      </c>
      <c r="C668" s="34" t="str">
        <f>IFERROR(__xludf.DUMMYFUNCTION("""COMPUTED_VALUE"""),"ECTO:1000033")</f>
        <v>ECTO:1000033</v>
      </c>
      <c r="D668" s="29" t="str">
        <f>IFERROR(__xludf.DUMMYFUNCTION("""COMPUTED_VALUE"""),"A exposure event involving the interaction of an exposure receptor to abattoir.")</f>
        <v>A exposure event involving the interaction of an exposure receptor to abattoir.</v>
      </c>
      <c r="H668" s="55" t="s">
        <v>19</v>
      </c>
      <c r="I668" s="55" t="s">
        <v>19</v>
      </c>
      <c r="J668" s="55" t="s">
        <v>19</v>
      </c>
      <c r="K668" s="55" t="str">
        <f t="shared" si="47"/>
        <v>Mpox</v>
      </c>
      <c r="M668" s="40"/>
    </row>
    <row r="669">
      <c r="A669" s="34"/>
      <c r="B669" s="53" t="str">
        <f>IFERROR(__xludf.DUMMYFUNCTION("""COMPUTED_VALUE"""),"     Animal Rescue               ")</f>
        <v>     Animal Rescue               </v>
      </c>
      <c r="C669" s="34" t="str">
        <f>IFERROR(__xludf.DUMMYFUNCTION("""COMPUTED_VALUE"""),"GENEPIO:0100191")</f>
        <v>GENEPIO:0100191</v>
      </c>
      <c r="D669"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H669" s="55" t="s">
        <v>19</v>
      </c>
      <c r="I669" s="55" t="s">
        <v>19</v>
      </c>
      <c r="J669" s="55" t="s">
        <v>19</v>
      </c>
      <c r="K669" s="55" t="str">
        <f t="shared" si="47"/>
        <v>Mpox</v>
      </c>
      <c r="M669" s="40"/>
    </row>
    <row r="670">
      <c r="A670" s="34"/>
      <c r="B670" s="53" t="str">
        <f>IFERROR(__xludf.DUMMYFUNCTION("""COMPUTED_VALUE"""),"     Bar (pub)               ")</f>
        <v>     Bar (pub)               </v>
      </c>
      <c r="C670" s="34" t="str">
        <f>IFERROR(__xludf.DUMMYFUNCTION("""COMPUTED_VALUE"""),"GENEPIO:0100503")</f>
        <v>GENEPIO:0100503</v>
      </c>
      <c r="D670" s="29" t="str">
        <f>IFERROR(__xludf.DUMMYFUNCTION("""COMPUTED_VALUE"""),"A process occurring within or in the vicinity of a bar or pub environment that exposes the recipient organism to a material entity")</f>
        <v>A process occurring within or in the vicinity of a bar or pub environment that exposes the recipient organism to a material entity</v>
      </c>
      <c r="H670" s="55" t="s">
        <v>19</v>
      </c>
      <c r="I670" s="55" t="s">
        <v>19</v>
      </c>
      <c r="J670" s="55" t="s">
        <v>19</v>
      </c>
      <c r="K670" s="55" t="str">
        <f t="shared" si="47"/>
        <v>Mpox</v>
      </c>
      <c r="M670" s="40"/>
    </row>
    <row r="671">
      <c r="A671" s="34"/>
      <c r="B671" s="53" t="str">
        <f>IFERROR(__xludf.DUMMYFUNCTION("""COMPUTED_VALUE"""),"     Childcare               ")</f>
        <v>     Childcare               </v>
      </c>
      <c r="C671" s="34" t="str">
        <f>IFERROR(__xludf.DUMMYFUNCTION("""COMPUTED_VALUE"""),"GENEPIO:0100192")</f>
        <v>GENEPIO:0100192</v>
      </c>
      <c r="D671"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H671" s="55" t="s">
        <v>19</v>
      </c>
      <c r="I671" s="55" t="s">
        <v>19</v>
      </c>
      <c r="J671" s="55" t="s">
        <v>19</v>
      </c>
      <c r="K671" s="55" t="str">
        <f t="shared" si="47"/>
        <v>Mpox</v>
      </c>
      <c r="M671" s="40"/>
    </row>
    <row r="672">
      <c r="A672" s="34"/>
      <c r="B672" s="53" t="str">
        <f>IFERROR(__xludf.DUMMYFUNCTION("""COMPUTED_VALUE"""),"          Daycare          ")</f>
        <v>          Daycare          </v>
      </c>
      <c r="C672" s="34" t="str">
        <f>IFERROR(__xludf.DUMMYFUNCTION("""COMPUTED_VALUE"""),"GENEPIO:0100193")</f>
        <v>GENEPIO:0100193</v>
      </c>
      <c r="D672"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H672" s="55" t="s">
        <v>19</v>
      </c>
      <c r="I672" s="55" t="s">
        <v>19</v>
      </c>
      <c r="J672" s="55" t="s">
        <v>19</v>
      </c>
      <c r="K672" s="55" t="str">
        <f t="shared" si="47"/>
        <v>Mpox</v>
      </c>
      <c r="M672" s="40"/>
    </row>
    <row r="673">
      <c r="A673" s="34"/>
      <c r="B673" s="53" t="str">
        <f>IFERROR(__xludf.DUMMYFUNCTION("""COMPUTED_VALUE"""),"          Nursery          ")</f>
        <v>          Nursery          </v>
      </c>
      <c r="C673" s="34" t="str">
        <f>IFERROR(__xludf.DUMMYFUNCTION("""COMPUTED_VALUE"""),"GENEPIO:0100194")</f>
        <v>GENEPIO:0100194</v>
      </c>
      <c r="D673"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H673" s="55" t="s">
        <v>19</v>
      </c>
      <c r="I673" s="55" t="s">
        <v>19</v>
      </c>
      <c r="J673" s="55" t="s">
        <v>19</v>
      </c>
      <c r="K673" s="55" t="str">
        <f t="shared" si="47"/>
        <v>Mpox</v>
      </c>
      <c r="M673" s="40"/>
    </row>
    <row r="674">
      <c r="A674" s="34"/>
      <c r="B674" s="53" t="str">
        <f>IFERROR(__xludf.DUMMYFUNCTION("""COMPUTED_VALUE"""),"     Community Service Centre               ")</f>
        <v>     Community Service Centre               </v>
      </c>
      <c r="C674" s="34" t="str">
        <f>IFERROR(__xludf.DUMMYFUNCTION("""COMPUTED_VALUE"""),"GENEPIO:0100195")</f>
        <v>GENEPIO:0100195</v>
      </c>
      <c r="D674"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H674" s="55" t="s">
        <v>19</v>
      </c>
      <c r="I674" s="55" t="s">
        <v>19</v>
      </c>
      <c r="J674" s="55" t="s">
        <v>19</v>
      </c>
      <c r="K674" s="55" t="str">
        <f t="shared" si="47"/>
        <v>Mpox</v>
      </c>
      <c r="M674" s="40"/>
    </row>
    <row r="675">
      <c r="A675" s="34"/>
      <c r="B675" s="53" t="str">
        <f>IFERROR(__xludf.DUMMYFUNCTION("""COMPUTED_VALUE"""),"     Correctional Facility               ")</f>
        <v>     Correctional Facility               </v>
      </c>
      <c r="C675" s="34" t="str">
        <f>IFERROR(__xludf.DUMMYFUNCTION("""COMPUTED_VALUE"""),"GENEPIO:0100196")</f>
        <v>GENEPIO:0100196</v>
      </c>
      <c r="D675"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H675" s="55" t="s">
        <v>19</v>
      </c>
      <c r="I675" s="55" t="s">
        <v>19</v>
      </c>
      <c r="J675" s="55" t="s">
        <v>19</v>
      </c>
      <c r="K675" s="55" t="str">
        <f t="shared" si="47"/>
        <v>Mpox</v>
      </c>
      <c r="M675" s="40"/>
    </row>
    <row r="676">
      <c r="A676" s="34"/>
      <c r="B676" s="53" t="str">
        <f>IFERROR(__xludf.DUMMYFUNCTION("""COMPUTED_VALUE"""),"     Dormitory               ")</f>
        <v>     Dormitory               </v>
      </c>
      <c r="C676" s="34" t="str">
        <f>IFERROR(__xludf.DUMMYFUNCTION("""COMPUTED_VALUE"""),"GENEPIO:0100197")</f>
        <v>GENEPIO:0100197</v>
      </c>
      <c r="D676"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H676" s="55" t="s">
        <v>19</v>
      </c>
      <c r="I676" s="55" t="s">
        <v>19</v>
      </c>
      <c r="J676" s="55" t="s">
        <v>19</v>
      </c>
      <c r="K676" s="55" t="str">
        <f t="shared" si="47"/>
        <v>Mpox</v>
      </c>
      <c r="M676" s="40"/>
    </row>
    <row r="677">
      <c r="A677" s="34"/>
      <c r="B677" s="53" t="str">
        <f>IFERROR(__xludf.DUMMYFUNCTION("""COMPUTED_VALUE"""),"     Farm               ")</f>
        <v>     Farm               </v>
      </c>
      <c r="C677" s="34" t="str">
        <f>IFERROR(__xludf.DUMMYFUNCTION("""COMPUTED_VALUE"""),"ECTO:1000034")</f>
        <v>ECTO:1000034</v>
      </c>
      <c r="D677" s="29" t="str">
        <f>IFERROR(__xludf.DUMMYFUNCTION("""COMPUTED_VALUE"""),"A exposure event involving the interaction of an exposure receptor to farm")</f>
        <v>A exposure event involving the interaction of an exposure receptor to farm</v>
      </c>
      <c r="H677" s="55" t="s">
        <v>19</v>
      </c>
      <c r="I677" s="55" t="s">
        <v>19</v>
      </c>
      <c r="J677" s="55" t="s">
        <v>19</v>
      </c>
      <c r="K677" s="55" t="str">
        <f t="shared" si="47"/>
        <v>Mpox</v>
      </c>
      <c r="M677" s="40"/>
    </row>
    <row r="678">
      <c r="A678" s="34"/>
      <c r="B678" s="53" t="str">
        <f>IFERROR(__xludf.DUMMYFUNCTION("""COMPUTED_VALUE"""),"     First Nations Reserve               ")</f>
        <v>     First Nations Reserve               </v>
      </c>
      <c r="C678" s="34" t="str">
        <f>IFERROR(__xludf.DUMMYFUNCTION("""COMPUTED_VALUE"""),"GENEPIO:0100198")</f>
        <v>GENEPIO:0100198</v>
      </c>
      <c r="D678"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H678" s="55" t="s">
        <v>19</v>
      </c>
      <c r="I678" s="55" t="s">
        <v>19</v>
      </c>
      <c r="J678" s="55" t="s">
        <v>19</v>
      </c>
      <c r="K678" s="55" t="str">
        <f t="shared" si="47"/>
        <v>Mpox</v>
      </c>
      <c r="M678" s="40"/>
    </row>
    <row r="679">
      <c r="A679" s="34"/>
      <c r="B679" s="53" t="str">
        <f>IFERROR(__xludf.DUMMYFUNCTION("""COMPUTED_VALUE"""),"     Funeral Home               ")</f>
        <v>     Funeral Home               </v>
      </c>
      <c r="C679" s="34" t="str">
        <f>IFERROR(__xludf.DUMMYFUNCTION("""COMPUTED_VALUE"""),"GENEPIO:0100199")</f>
        <v>GENEPIO:0100199</v>
      </c>
      <c r="D679"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79" s="55" t="s">
        <v>19</v>
      </c>
      <c r="I679" s="55" t="s">
        <v>19</v>
      </c>
      <c r="J679" s="55" t="s">
        <v>19</v>
      </c>
      <c r="K679" s="55" t="str">
        <f t="shared" si="47"/>
        <v>Mpox</v>
      </c>
      <c r="M679" s="40"/>
    </row>
    <row r="680">
      <c r="A680" s="34"/>
      <c r="B680" s="53" t="str">
        <f>IFERROR(__xludf.DUMMYFUNCTION("""COMPUTED_VALUE"""),"     Group Home               ")</f>
        <v>     Group Home               </v>
      </c>
      <c r="C680" s="34" t="str">
        <f>IFERROR(__xludf.DUMMYFUNCTION("""COMPUTED_VALUE"""),"GENEPIO:0100200")</f>
        <v>GENEPIO:0100200</v>
      </c>
      <c r="D680"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H680" s="55" t="s">
        <v>19</v>
      </c>
      <c r="I680" s="55" t="s">
        <v>19</v>
      </c>
      <c r="J680" s="55" t="s">
        <v>19</v>
      </c>
      <c r="K680" s="55" t="str">
        <f t="shared" si="47"/>
        <v>Mpox</v>
      </c>
      <c r="M680" s="40"/>
    </row>
    <row r="681">
      <c r="A681" s="34"/>
      <c r="B681" s="53" t="str">
        <f>IFERROR(__xludf.DUMMYFUNCTION("""COMPUTED_VALUE"""),"     Healthcare Setting               ")</f>
        <v>     Healthcare Setting               </v>
      </c>
      <c r="C681" s="34" t="str">
        <f>IFERROR(__xludf.DUMMYFUNCTION("""COMPUTED_VALUE"""),"GENEPIO:0100201")</f>
        <v>GENEPIO:0100201</v>
      </c>
      <c r="D681"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H681" s="55" t="s">
        <v>19</v>
      </c>
      <c r="I681" s="55" t="s">
        <v>19</v>
      </c>
      <c r="J681" s="55" t="s">
        <v>19</v>
      </c>
      <c r="K681" s="55" t="str">
        <f t="shared" si="47"/>
        <v>Mpox</v>
      </c>
      <c r="M681" s="40"/>
    </row>
    <row r="682">
      <c r="A682" s="34"/>
      <c r="B682" s="53" t="str">
        <f>IFERROR(__xludf.DUMMYFUNCTION("""COMPUTED_VALUE"""),"          Ambulance          ")</f>
        <v>          Ambulance          </v>
      </c>
      <c r="C682" s="34" t="str">
        <f>IFERROR(__xludf.DUMMYFUNCTION("""COMPUTED_VALUE"""),"GENEPIO:0100202")</f>
        <v>GENEPIO:0100202</v>
      </c>
      <c r="D682"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H682" s="55" t="s">
        <v>19</v>
      </c>
      <c r="I682" s="55" t="s">
        <v>19</v>
      </c>
      <c r="J682" s="55" t="s">
        <v>19</v>
      </c>
      <c r="K682" s="55" t="str">
        <f t="shared" si="47"/>
        <v>Mpox</v>
      </c>
      <c r="M682" s="40"/>
    </row>
    <row r="683">
      <c r="A683" s="34"/>
      <c r="B683" s="53" t="str">
        <f>IFERROR(__xludf.DUMMYFUNCTION("""COMPUTED_VALUE"""),"          Acute Care Facility          ")</f>
        <v>          Acute Care Facility          </v>
      </c>
      <c r="C683" s="34" t="str">
        <f>IFERROR(__xludf.DUMMYFUNCTION("""COMPUTED_VALUE"""),"GENEPIO:0100203")</f>
        <v>GENEPIO:0100203</v>
      </c>
      <c r="D683"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H683" s="55" t="s">
        <v>19</v>
      </c>
      <c r="I683" s="55" t="s">
        <v>19</v>
      </c>
      <c r="J683" s="55" t="s">
        <v>19</v>
      </c>
      <c r="K683" s="55" t="str">
        <f t="shared" si="47"/>
        <v>Mpox</v>
      </c>
      <c r="M683" s="40"/>
    </row>
    <row r="684">
      <c r="A684" s="34"/>
      <c r="B684" s="53" t="str">
        <f>IFERROR(__xludf.DUMMYFUNCTION("""COMPUTED_VALUE"""),"          Clinic          ")</f>
        <v>          Clinic          </v>
      </c>
      <c r="C684" s="34" t="str">
        <f>IFERROR(__xludf.DUMMYFUNCTION("""COMPUTED_VALUE"""),"GENEPIO:0100204")</f>
        <v>GENEPIO:0100204</v>
      </c>
      <c r="D684"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H684" s="55" t="s">
        <v>19</v>
      </c>
      <c r="I684" s="55" t="s">
        <v>19</v>
      </c>
      <c r="J684" s="55" t="s">
        <v>19</v>
      </c>
      <c r="K684" s="55" t="str">
        <f t="shared" si="47"/>
        <v>Mpox</v>
      </c>
      <c r="M684" s="40"/>
    </row>
    <row r="685">
      <c r="A685" s="34"/>
      <c r="B685" s="53" t="str">
        <f>IFERROR(__xludf.DUMMYFUNCTION("""COMPUTED_VALUE"""),"          Community Healthcare (At-Home) Setting          ")</f>
        <v>          Community Healthcare (At-Home) Setting          </v>
      </c>
      <c r="C685" s="34" t="str">
        <f>IFERROR(__xludf.DUMMYFUNCTION("""COMPUTED_VALUE"""),"GENEPIO:0100415")</f>
        <v>GENEPIO:0100415</v>
      </c>
      <c r="D685"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H685" s="55" t="s">
        <v>19</v>
      </c>
      <c r="I685" s="55" t="s">
        <v>19</v>
      </c>
      <c r="J685" s="55" t="s">
        <v>19</v>
      </c>
      <c r="K685" s="55" t="str">
        <f t="shared" si="47"/>
        <v>Mpox</v>
      </c>
      <c r="M685" s="40"/>
    </row>
    <row r="686">
      <c r="A686" s="34"/>
      <c r="B686" s="53" t="str">
        <f>IFERROR(__xludf.DUMMYFUNCTION("""COMPUTED_VALUE"""),"          Community Health Centre          ")</f>
        <v>          Community Health Centre          </v>
      </c>
      <c r="C686" s="34" t="str">
        <f>IFERROR(__xludf.DUMMYFUNCTION("""COMPUTED_VALUE"""),"GENEPIO:0100205")</f>
        <v>GENEPIO:0100205</v>
      </c>
      <c r="D686"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H686" s="55" t="s">
        <v>19</v>
      </c>
      <c r="I686" s="55" t="s">
        <v>19</v>
      </c>
      <c r="J686" s="55" t="s">
        <v>19</v>
      </c>
      <c r="K686" s="55" t="str">
        <f t="shared" si="47"/>
        <v>Mpox</v>
      </c>
      <c r="M686" s="40"/>
    </row>
    <row r="687">
      <c r="A687" s="34"/>
      <c r="B687" s="53" t="str">
        <f>IFERROR(__xludf.DUMMYFUNCTION("""COMPUTED_VALUE"""),"          Hospital          ")</f>
        <v>          Hospital          </v>
      </c>
      <c r="C687" s="34" t="str">
        <f>IFERROR(__xludf.DUMMYFUNCTION("""COMPUTED_VALUE"""),"ECTO:1000035")</f>
        <v>ECTO:1000035</v>
      </c>
      <c r="D687" s="29" t="str">
        <f>IFERROR(__xludf.DUMMYFUNCTION("""COMPUTED_VALUE"""),"A exposure event involving the interaction of an exposure receptor to hospital.")</f>
        <v>A exposure event involving the interaction of an exposure receptor to hospital.</v>
      </c>
      <c r="H687" s="55" t="s">
        <v>19</v>
      </c>
      <c r="I687" s="55" t="s">
        <v>19</v>
      </c>
      <c r="J687" s="55" t="s">
        <v>19</v>
      </c>
      <c r="K687" s="55" t="str">
        <f t="shared" si="47"/>
        <v>Mpox</v>
      </c>
      <c r="M687" s="40"/>
    </row>
    <row r="688">
      <c r="A688" s="34"/>
      <c r="B688" s="53" t="str">
        <f>IFERROR(__xludf.DUMMYFUNCTION("""COMPUTED_VALUE"""),"               Emergency Department     ")</f>
        <v>               Emergency Department     </v>
      </c>
      <c r="C688" s="34" t="str">
        <f>IFERROR(__xludf.DUMMYFUNCTION("""COMPUTED_VALUE"""),"GENEPIO:0100206")</f>
        <v>GENEPIO:0100206</v>
      </c>
      <c r="D688"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H688" s="55" t="s">
        <v>19</v>
      </c>
      <c r="I688" s="55" t="s">
        <v>19</v>
      </c>
      <c r="J688" s="55" t="s">
        <v>19</v>
      </c>
      <c r="K688" s="55" t="str">
        <f t="shared" si="47"/>
        <v>Mpox</v>
      </c>
      <c r="M688" s="40"/>
    </row>
    <row r="689">
      <c r="A689" s="34"/>
      <c r="B689" s="53" t="str">
        <f>IFERROR(__xludf.DUMMYFUNCTION("""COMPUTED_VALUE"""),"               ICU     ")</f>
        <v>               ICU     </v>
      </c>
      <c r="C689" s="34" t="str">
        <f>IFERROR(__xludf.DUMMYFUNCTION("""COMPUTED_VALUE"""),"GENEPIO:0100207")</f>
        <v>GENEPIO:0100207</v>
      </c>
      <c r="D689"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H689" s="55" t="s">
        <v>19</v>
      </c>
      <c r="I689" s="55" t="s">
        <v>19</v>
      </c>
      <c r="J689" s="55" t="s">
        <v>19</v>
      </c>
      <c r="K689" s="55" t="str">
        <f t="shared" si="47"/>
        <v>Mpox</v>
      </c>
      <c r="M689" s="40"/>
    </row>
    <row r="690">
      <c r="A690" s="34"/>
      <c r="B690" s="53" t="str">
        <f>IFERROR(__xludf.DUMMYFUNCTION("""COMPUTED_VALUE"""),"               Ward     ")</f>
        <v>               Ward     </v>
      </c>
      <c r="C690" s="34" t="str">
        <f>IFERROR(__xludf.DUMMYFUNCTION("""COMPUTED_VALUE"""),"GENEPIO:0100208")</f>
        <v>GENEPIO:0100208</v>
      </c>
      <c r="D690"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H690" s="55" t="s">
        <v>19</v>
      </c>
      <c r="I690" s="55" t="s">
        <v>19</v>
      </c>
      <c r="J690" s="55" t="s">
        <v>19</v>
      </c>
      <c r="K690" s="55" t="str">
        <f t="shared" si="47"/>
        <v>Mpox</v>
      </c>
      <c r="M690" s="40"/>
    </row>
    <row r="691">
      <c r="A691" s="34"/>
      <c r="B691" s="53" t="str">
        <f>IFERROR(__xludf.DUMMYFUNCTION("""COMPUTED_VALUE"""),"          Laboratory          ")</f>
        <v>          Laboratory          </v>
      </c>
      <c r="C691" s="34" t="str">
        <f>IFERROR(__xludf.DUMMYFUNCTION("""COMPUTED_VALUE"""),"ECTO:1000036")</f>
        <v>ECTO:1000036</v>
      </c>
      <c r="D691" s="29" t="str">
        <f>IFERROR(__xludf.DUMMYFUNCTION("""COMPUTED_VALUE"""),"A exposure event involving the interaction of an exposure receptor to laboratory facility.")</f>
        <v>A exposure event involving the interaction of an exposure receptor to laboratory facility.</v>
      </c>
      <c r="H691" s="55" t="s">
        <v>19</v>
      </c>
      <c r="I691" s="55" t="s">
        <v>19</v>
      </c>
      <c r="J691" s="55" t="s">
        <v>19</v>
      </c>
      <c r="K691" s="55" t="str">
        <f t="shared" si="47"/>
        <v>Mpox</v>
      </c>
      <c r="M691" s="40"/>
    </row>
    <row r="692">
      <c r="A692" s="34"/>
      <c r="B692" s="53" t="str">
        <f>IFERROR(__xludf.DUMMYFUNCTION("""COMPUTED_VALUE"""),"          Long-Term Care Facility          ")</f>
        <v>          Long-Term Care Facility          </v>
      </c>
      <c r="C692" s="34" t="str">
        <f>IFERROR(__xludf.DUMMYFUNCTION("""COMPUTED_VALUE"""),"GENEPIO:0100209")</f>
        <v>GENEPIO:0100209</v>
      </c>
      <c r="D692"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H692" s="55" t="s">
        <v>19</v>
      </c>
      <c r="I692" s="55" t="s">
        <v>19</v>
      </c>
      <c r="J692" s="55" t="s">
        <v>19</v>
      </c>
      <c r="K692" s="55" t="str">
        <f t="shared" si="47"/>
        <v>Mpox</v>
      </c>
      <c r="M692" s="40"/>
    </row>
    <row r="693">
      <c r="A693" s="34"/>
      <c r="B693" s="53" t="str">
        <f>IFERROR(__xludf.DUMMYFUNCTION("""COMPUTED_VALUE"""),"          Pharmacy          ")</f>
        <v>          Pharmacy          </v>
      </c>
      <c r="C693" s="34" t="str">
        <f>IFERROR(__xludf.DUMMYFUNCTION("""COMPUTED_VALUE"""),"GENEPIO:0100210")</f>
        <v>GENEPIO:0100210</v>
      </c>
      <c r="D693"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H693" s="55" t="s">
        <v>19</v>
      </c>
      <c r="I693" s="55" t="s">
        <v>19</v>
      </c>
      <c r="J693" s="55" t="s">
        <v>19</v>
      </c>
      <c r="K693" s="55" t="str">
        <f t="shared" si="47"/>
        <v>Mpox</v>
      </c>
      <c r="M693" s="40"/>
    </row>
    <row r="694">
      <c r="A694" s="34"/>
      <c r="B694" s="53" t="str">
        <f>IFERROR(__xludf.DUMMYFUNCTION("""COMPUTED_VALUE"""),"          Physician's Office          ")</f>
        <v>          Physician's Office          </v>
      </c>
      <c r="C694" s="34" t="str">
        <f>IFERROR(__xludf.DUMMYFUNCTION("""COMPUTED_VALUE"""),"GENEPIO:0100211")</f>
        <v>GENEPIO:0100211</v>
      </c>
      <c r="D694"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H694" s="55" t="s">
        <v>19</v>
      </c>
      <c r="I694" s="55" t="s">
        <v>19</v>
      </c>
      <c r="J694" s="55" t="s">
        <v>19</v>
      </c>
      <c r="K694" s="55" t="str">
        <f t="shared" si="47"/>
        <v>Mpox</v>
      </c>
      <c r="M694" s="40"/>
    </row>
    <row r="695">
      <c r="A695" s="34"/>
      <c r="B695" s="53" t="str">
        <f>IFERROR(__xludf.DUMMYFUNCTION("""COMPUTED_VALUE"""),"     Household               ")</f>
        <v>     Household               </v>
      </c>
      <c r="C695" s="34" t="str">
        <f>IFERROR(__xludf.DUMMYFUNCTION("""COMPUTED_VALUE"""),"GENEPIO:0100212")</f>
        <v>GENEPIO:0100212</v>
      </c>
      <c r="D695"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H695" s="55" t="s">
        <v>19</v>
      </c>
      <c r="I695" s="55" t="s">
        <v>19</v>
      </c>
      <c r="J695" s="55" t="s">
        <v>19</v>
      </c>
      <c r="K695" s="55" t="str">
        <f t="shared" si="47"/>
        <v>Mpox</v>
      </c>
      <c r="M695" s="40"/>
    </row>
    <row r="696">
      <c r="A696" s="34"/>
      <c r="B696" s="53" t="str">
        <f>IFERROR(__xludf.DUMMYFUNCTION("""COMPUTED_VALUE"""),"     Insecure Housing (Homeless)               ")</f>
        <v>     Insecure Housing (Homeless)               </v>
      </c>
      <c r="C696" s="34" t="str">
        <f>IFERROR(__xludf.DUMMYFUNCTION("""COMPUTED_VALUE"""),"GENEPIO:0100213")</f>
        <v>GENEPIO:0100213</v>
      </c>
      <c r="D696"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H696" s="55" t="s">
        <v>19</v>
      </c>
      <c r="I696" s="55" t="s">
        <v>19</v>
      </c>
      <c r="J696" s="55" t="s">
        <v>19</v>
      </c>
      <c r="K696" s="55" t="str">
        <f t="shared" si="47"/>
        <v>Mpox</v>
      </c>
      <c r="M696" s="40"/>
    </row>
    <row r="697">
      <c r="A697" s="34"/>
      <c r="B697" s="53" t="str">
        <f>IFERROR(__xludf.DUMMYFUNCTION("""COMPUTED_VALUE"""),"     Occupational Exposure               ")</f>
        <v>     Occupational Exposure               </v>
      </c>
      <c r="C697" s="34" t="str">
        <f>IFERROR(__xludf.DUMMYFUNCTION("""COMPUTED_VALUE"""),"GENEPIO:0100214")</f>
        <v>GENEPIO:0100214</v>
      </c>
      <c r="D697"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H697" s="55" t="s">
        <v>19</v>
      </c>
      <c r="I697" s="55" t="s">
        <v>19</v>
      </c>
      <c r="J697" s="55" t="s">
        <v>19</v>
      </c>
      <c r="K697" s="55" t="str">
        <f t="shared" si="47"/>
        <v>Mpox</v>
      </c>
      <c r="M697" s="40"/>
    </row>
    <row r="698">
      <c r="A698" s="34"/>
      <c r="B698" s="53" t="str">
        <f>IFERROR(__xludf.DUMMYFUNCTION("""COMPUTED_VALUE"""),"          Worksite          ")</f>
        <v>          Worksite          </v>
      </c>
      <c r="C698" s="34" t="str">
        <f>IFERROR(__xludf.DUMMYFUNCTION("""COMPUTED_VALUE"""),"GENEPIO:0100215")</f>
        <v>GENEPIO:0100215</v>
      </c>
      <c r="D698"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H698" s="55" t="s">
        <v>19</v>
      </c>
      <c r="I698" s="55" t="s">
        <v>19</v>
      </c>
      <c r="J698" s="55" t="s">
        <v>19</v>
      </c>
      <c r="K698" s="55" t="str">
        <f t="shared" si="47"/>
        <v>Mpox</v>
      </c>
      <c r="M698" s="40"/>
    </row>
    <row r="699">
      <c r="A699" s="34"/>
      <c r="B699" s="53" t="str">
        <f>IFERROR(__xludf.DUMMYFUNCTION("""COMPUTED_VALUE"""),"               Office     ")</f>
        <v>               Office     </v>
      </c>
      <c r="C699" s="34" t="str">
        <f>IFERROR(__xludf.DUMMYFUNCTION("""COMPUTED_VALUE"""),"ECTO:1000037")</f>
        <v>ECTO:1000037</v>
      </c>
      <c r="D699" s="29" t="str">
        <f>IFERROR(__xludf.DUMMYFUNCTION("""COMPUTED_VALUE"""),"A exposure event involving the interaction of an exposure receptor to office.")</f>
        <v>A exposure event involving the interaction of an exposure receptor to office.</v>
      </c>
      <c r="H699" s="55" t="s">
        <v>19</v>
      </c>
      <c r="I699" s="55" t="s">
        <v>19</v>
      </c>
      <c r="J699" s="55" t="s">
        <v>19</v>
      </c>
      <c r="K699" s="55" t="str">
        <f t="shared" si="47"/>
        <v>Mpox</v>
      </c>
      <c r="M699" s="40"/>
    </row>
    <row r="700">
      <c r="A700" s="34"/>
      <c r="B700" s="53" t="str">
        <f>IFERROR(__xludf.DUMMYFUNCTION("""COMPUTED_VALUE"""),"     Outdoors               ")</f>
        <v>     Outdoors               </v>
      </c>
      <c r="C700" s="34" t="str">
        <f>IFERROR(__xludf.DUMMYFUNCTION("""COMPUTED_VALUE"""),"GENEPIO:0100216")</f>
        <v>GENEPIO:0100216</v>
      </c>
      <c r="D700" s="29" t="str">
        <f>IFERROR(__xludf.DUMMYFUNCTION("""COMPUTED_VALUE"""),"A process occuring outdoors that exposes the recipient organism to a material entity.")</f>
        <v>A process occuring outdoors that exposes the recipient organism to a material entity.</v>
      </c>
      <c r="H700" s="55" t="s">
        <v>19</v>
      </c>
      <c r="I700" s="55" t="s">
        <v>19</v>
      </c>
      <c r="J700" s="55" t="s">
        <v>19</v>
      </c>
      <c r="K700" s="55" t="str">
        <f t="shared" si="47"/>
        <v>Mpox</v>
      </c>
      <c r="M700" s="40"/>
    </row>
    <row r="701">
      <c r="A701" s="34"/>
      <c r="B701" s="53" t="str">
        <f>IFERROR(__xludf.DUMMYFUNCTION("""COMPUTED_VALUE"""),"          Camp/camping          ")</f>
        <v>          Camp/camping          </v>
      </c>
      <c r="C701" s="34" t="str">
        <f>IFERROR(__xludf.DUMMYFUNCTION("""COMPUTED_VALUE"""),"ECTO:5000009")</f>
        <v>ECTO:5000009</v>
      </c>
      <c r="D701" s="29" t="str">
        <f>IFERROR(__xludf.DUMMYFUNCTION("""COMPUTED_VALUE"""),"A exposure event involving the interaction of an exposure receptor to campground.")</f>
        <v>A exposure event involving the interaction of an exposure receptor to campground.</v>
      </c>
      <c r="H701" s="55" t="s">
        <v>19</v>
      </c>
      <c r="I701" s="55" t="s">
        <v>19</v>
      </c>
      <c r="J701" s="55" t="s">
        <v>19</v>
      </c>
      <c r="K701" s="55" t="str">
        <f t="shared" si="47"/>
        <v>Mpox</v>
      </c>
      <c r="M701" s="40"/>
    </row>
    <row r="702">
      <c r="A702" s="34"/>
      <c r="B702" s="53" t="str">
        <f>IFERROR(__xludf.DUMMYFUNCTION("""COMPUTED_VALUE"""),"          Hiking Trail          ")</f>
        <v>          Hiking Trail          </v>
      </c>
      <c r="C702" s="34" t="str">
        <f>IFERROR(__xludf.DUMMYFUNCTION("""COMPUTED_VALUE"""),"GENEPIO:0100217")</f>
        <v>GENEPIO:0100217</v>
      </c>
      <c r="D702" s="29" t="str">
        <f>IFERROR(__xludf.DUMMYFUNCTION("""COMPUTED_VALUE"""),"A process that exposes the recipient organism to a material entity as a consequence of hiking.")</f>
        <v>A process that exposes the recipient organism to a material entity as a consequence of hiking.</v>
      </c>
      <c r="H702" s="55" t="s">
        <v>19</v>
      </c>
      <c r="I702" s="55" t="s">
        <v>19</v>
      </c>
      <c r="J702" s="55" t="s">
        <v>19</v>
      </c>
      <c r="K702" s="55" t="str">
        <f t="shared" si="47"/>
        <v>Mpox</v>
      </c>
      <c r="M702" s="40"/>
    </row>
    <row r="703">
      <c r="A703" s="34"/>
      <c r="B703" s="53" t="str">
        <f>IFERROR(__xludf.DUMMYFUNCTION("""COMPUTED_VALUE"""),"          Hunting Ground          ")</f>
        <v>          Hunting Ground          </v>
      </c>
      <c r="C703" s="34" t="str">
        <f>IFERROR(__xludf.DUMMYFUNCTION("""COMPUTED_VALUE"""),"ECTO:6000030")</f>
        <v>ECTO:6000030</v>
      </c>
      <c r="D703" s="29" t="str">
        <f>IFERROR(__xludf.DUMMYFUNCTION("""COMPUTED_VALUE"""),"An exposure event involving hunting behavior")</f>
        <v>An exposure event involving hunting behavior</v>
      </c>
      <c r="H703" s="55" t="s">
        <v>19</v>
      </c>
      <c r="I703" s="55" t="s">
        <v>19</v>
      </c>
      <c r="J703" s="55" t="s">
        <v>19</v>
      </c>
      <c r="K703" s="55" t="str">
        <f t="shared" si="47"/>
        <v>Mpox</v>
      </c>
      <c r="M703" s="40"/>
    </row>
    <row r="704">
      <c r="A704" s="34"/>
      <c r="B704" s="53" t="str">
        <f>IFERROR(__xludf.DUMMYFUNCTION("""COMPUTED_VALUE"""),"          Ski Resort          ")</f>
        <v>          Ski Resort          </v>
      </c>
      <c r="C704" s="34" t="str">
        <f>IFERROR(__xludf.DUMMYFUNCTION("""COMPUTED_VALUE"""),"GENEPIO:0100218")</f>
        <v>GENEPIO:0100218</v>
      </c>
      <c r="D704"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H704" s="55" t="s">
        <v>19</v>
      </c>
      <c r="I704" s="55" t="s">
        <v>19</v>
      </c>
      <c r="J704" s="55" t="s">
        <v>19</v>
      </c>
      <c r="K704" s="55" t="str">
        <f t="shared" si="47"/>
        <v>Mpox</v>
      </c>
      <c r="M704" s="40"/>
    </row>
    <row r="705">
      <c r="A705" s="34"/>
      <c r="B705" s="53" t="str">
        <f>IFERROR(__xludf.DUMMYFUNCTION("""COMPUTED_VALUE"""),"     Petting zoo               ")</f>
        <v>     Petting zoo               </v>
      </c>
      <c r="C705" s="34" t="str">
        <f>IFERROR(__xludf.DUMMYFUNCTION("""COMPUTED_VALUE"""),"ECTO:5000008")</f>
        <v>ECTO:5000008</v>
      </c>
      <c r="D705" s="29" t="str">
        <f>IFERROR(__xludf.DUMMYFUNCTION("""COMPUTED_VALUE"""),"A exposure event involving the interaction of an exposure receptor to petting zoo.")</f>
        <v>A exposure event involving the interaction of an exposure receptor to petting zoo.</v>
      </c>
      <c r="H705" s="55" t="s">
        <v>19</v>
      </c>
      <c r="I705" s="55" t="s">
        <v>19</v>
      </c>
      <c r="J705" s="55" t="s">
        <v>19</v>
      </c>
      <c r="K705" s="55" t="str">
        <f t="shared" si="47"/>
        <v>Mpox</v>
      </c>
      <c r="M705" s="40"/>
    </row>
    <row r="706">
      <c r="A706" s="34"/>
      <c r="B706" s="53" t="str">
        <f>IFERROR(__xludf.DUMMYFUNCTION("""COMPUTED_VALUE"""),"     Place of Worship               ")</f>
        <v>     Place of Worship               </v>
      </c>
      <c r="C706" s="34" t="str">
        <f>IFERROR(__xludf.DUMMYFUNCTION("""COMPUTED_VALUE"""),"GENEPIO:0100220")</f>
        <v>GENEPIO:0100220</v>
      </c>
      <c r="D706"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H706" s="55" t="s">
        <v>19</v>
      </c>
      <c r="I706" s="55" t="s">
        <v>19</v>
      </c>
      <c r="J706" s="55" t="s">
        <v>19</v>
      </c>
      <c r="K706" s="55" t="str">
        <f t="shared" si="47"/>
        <v>Mpox</v>
      </c>
      <c r="M706" s="40"/>
    </row>
    <row r="707">
      <c r="A707" s="34"/>
      <c r="B707" s="53" t="str">
        <f>IFERROR(__xludf.DUMMYFUNCTION("""COMPUTED_VALUE"""),"          Church          ")</f>
        <v>          Church          </v>
      </c>
      <c r="C707" s="34" t="str">
        <f>IFERROR(__xludf.DUMMYFUNCTION("""COMPUTED_VALUE"""),"GENEPIO:0100221")</f>
        <v>GENEPIO:0100221</v>
      </c>
      <c r="D707"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H707" s="55" t="s">
        <v>19</v>
      </c>
      <c r="I707" s="55" t="s">
        <v>19</v>
      </c>
      <c r="J707" s="55" t="s">
        <v>19</v>
      </c>
      <c r="K707" s="55" t="str">
        <f t="shared" si="47"/>
        <v>Mpox</v>
      </c>
      <c r="M707" s="40"/>
    </row>
    <row r="708">
      <c r="A708" s="34"/>
      <c r="B708" s="53" t="str">
        <f>IFERROR(__xludf.DUMMYFUNCTION("""COMPUTED_VALUE"""),"          Mosque          ")</f>
        <v>          Mosque          </v>
      </c>
      <c r="C708" s="34" t="str">
        <f>IFERROR(__xludf.DUMMYFUNCTION("""COMPUTED_VALUE"""),"GENEPIO:0100222")</f>
        <v>GENEPIO:0100222</v>
      </c>
      <c r="D708"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H708" s="55" t="s">
        <v>19</v>
      </c>
      <c r="I708" s="55" t="s">
        <v>19</v>
      </c>
      <c r="J708" s="55" t="s">
        <v>19</v>
      </c>
      <c r="K708" s="55" t="str">
        <f t="shared" si="47"/>
        <v>Mpox</v>
      </c>
      <c r="M708" s="40"/>
    </row>
    <row r="709">
      <c r="A709" s="34"/>
      <c r="B709" s="53" t="str">
        <f>IFERROR(__xludf.DUMMYFUNCTION("""COMPUTED_VALUE"""),"          Temple          ")</f>
        <v>          Temple          </v>
      </c>
      <c r="C709" s="34" t="str">
        <f>IFERROR(__xludf.DUMMYFUNCTION("""COMPUTED_VALUE"""),"GENEPIO:0100223")</f>
        <v>GENEPIO:0100223</v>
      </c>
      <c r="D709"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H709" s="55" t="s">
        <v>19</v>
      </c>
      <c r="I709" s="55" t="s">
        <v>19</v>
      </c>
      <c r="J709" s="55" t="s">
        <v>19</v>
      </c>
      <c r="K709" s="55" t="str">
        <f t="shared" si="47"/>
        <v>Mpox</v>
      </c>
      <c r="M709" s="40"/>
    </row>
    <row r="710">
      <c r="A710" s="34"/>
      <c r="B710" s="53" t="str">
        <f>IFERROR(__xludf.DUMMYFUNCTION("""COMPUTED_VALUE"""),"     Restaurant               ")</f>
        <v>     Restaurant               </v>
      </c>
      <c r="C710" s="34" t="str">
        <f>IFERROR(__xludf.DUMMYFUNCTION("""COMPUTED_VALUE"""),"ECTO:1000040")</f>
        <v>ECTO:1000040</v>
      </c>
      <c r="D710" s="29" t="str">
        <f>IFERROR(__xludf.DUMMYFUNCTION("""COMPUTED_VALUE"""),"A exposure event involving the interaction of an exposure receptor to restaurant.")</f>
        <v>A exposure event involving the interaction of an exposure receptor to restaurant.</v>
      </c>
      <c r="H710" s="55" t="s">
        <v>19</v>
      </c>
      <c r="I710" s="55" t="s">
        <v>19</v>
      </c>
      <c r="J710" s="55" t="s">
        <v>19</v>
      </c>
      <c r="K710" s="55" t="str">
        <f t="shared" si="47"/>
        <v>Mpox</v>
      </c>
      <c r="M710" s="40"/>
    </row>
    <row r="711">
      <c r="A711" s="34"/>
      <c r="B711" s="53" t="str">
        <f>IFERROR(__xludf.DUMMYFUNCTION("""COMPUTED_VALUE"""),"     Retail Store               ")</f>
        <v>     Retail Store               </v>
      </c>
      <c r="C711" s="34" t="str">
        <f>IFERROR(__xludf.DUMMYFUNCTION("""COMPUTED_VALUE"""),"ECTO:1000041")</f>
        <v>ECTO:1000041</v>
      </c>
      <c r="D711" s="29" t="str">
        <f>IFERROR(__xludf.DUMMYFUNCTION("""COMPUTED_VALUE"""),"A exposure event involving the interaction of an exposure receptor to shop.")</f>
        <v>A exposure event involving the interaction of an exposure receptor to shop.</v>
      </c>
      <c r="H711" s="55" t="s">
        <v>19</v>
      </c>
      <c r="I711" s="55" t="s">
        <v>19</v>
      </c>
      <c r="J711" s="55" t="s">
        <v>19</v>
      </c>
      <c r="K711" s="55" t="str">
        <f t="shared" si="47"/>
        <v>Mpox</v>
      </c>
      <c r="M711" s="40"/>
    </row>
    <row r="712">
      <c r="A712" s="29"/>
      <c r="B712" s="53" t="str">
        <f>IFERROR(__xludf.DUMMYFUNCTION("""COMPUTED_VALUE"""),"     School               ")</f>
        <v>     School               </v>
      </c>
      <c r="C712" s="29" t="str">
        <f>IFERROR(__xludf.DUMMYFUNCTION("""COMPUTED_VALUE"""),"GENEPIO:0100224")</f>
        <v>GENEPIO:0100224</v>
      </c>
      <c r="D712"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E712" s="29"/>
      <c r="F712" s="29"/>
      <c r="G712" s="29"/>
      <c r="H712" s="29"/>
      <c r="I712" s="29"/>
      <c r="J712" s="29"/>
      <c r="K712" s="55" t="str">
        <f t="shared" si="47"/>
        <v>Mpox</v>
      </c>
      <c r="M712" s="40"/>
    </row>
    <row r="713">
      <c r="A713" s="29"/>
      <c r="B713" s="53" t="str">
        <f>IFERROR(__xludf.DUMMYFUNCTION("""COMPUTED_VALUE"""),"     Temporary Residence               ")</f>
        <v>     Temporary Residence               </v>
      </c>
      <c r="C713" s="29" t="str">
        <f>IFERROR(__xludf.DUMMYFUNCTION("""COMPUTED_VALUE"""),"GENEPIO:0100225")</f>
        <v>GENEPIO:0100225</v>
      </c>
      <c r="D713"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E713" s="29"/>
      <c r="F713" s="29"/>
      <c r="G713" s="29"/>
      <c r="H713" s="29"/>
      <c r="I713" s="29"/>
      <c r="J713" s="29"/>
      <c r="K713" s="55" t="str">
        <f t="shared" si="47"/>
        <v>Mpox</v>
      </c>
      <c r="M713" s="40"/>
    </row>
    <row r="714">
      <c r="A714" s="29"/>
      <c r="B714" s="53" t="str">
        <f>IFERROR(__xludf.DUMMYFUNCTION("""COMPUTED_VALUE"""),"          Homeless Shelter          ")</f>
        <v>          Homeless Shelter          </v>
      </c>
      <c r="C714" s="29" t="str">
        <f>IFERROR(__xludf.DUMMYFUNCTION("""COMPUTED_VALUE"""),"GENEPIO:0100226")</f>
        <v>GENEPIO:0100226</v>
      </c>
      <c r="D714"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E714" s="29"/>
      <c r="F714" s="29"/>
      <c r="G714" s="29"/>
      <c r="H714" s="56" t="s">
        <v>19</v>
      </c>
      <c r="I714" s="56" t="s">
        <v>19</v>
      </c>
      <c r="J714" s="56" t="s">
        <v>19</v>
      </c>
      <c r="K714" s="55" t="str">
        <f t="shared" si="47"/>
        <v>Mpox</v>
      </c>
      <c r="M714" s="40"/>
    </row>
    <row r="715">
      <c r="A715" s="29"/>
      <c r="B715" s="53" t="str">
        <f>IFERROR(__xludf.DUMMYFUNCTION("""COMPUTED_VALUE"""),"          Hotel          ")</f>
        <v>          Hotel          </v>
      </c>
      <c r="C715" s="29" t="str">
        <f>IFERROR(__xludf.DUMMYFUNCTION("""COMPUTED_VALUE"""),"GENEPIO:0100227")</f>
        <v>GENEPIO:0100227</v>
      </c>
      <c r="D715"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15" s="29"/>
      <c r="F715" s="29"/>
      <c r="G715" s="29"/>
      <c r="H715" s="56" t="s">
        <v>19</v>
      </c>
      <c r="I715" s="56" t="s">
        <v>19</v>
      </c>
      <c r="J715" s="56" t="s">
        <v>19</v>
      </c>
      <c r="K715" s="55" t="str">
        <f t="shared" si="47"/>
        <v>Mpox</v>
      </c>
      <c r="M715" s="40"/>
    </row>
    <row r="716">
      <c r="A716" s="29"/>
      <c r="B716" s="53" t="str">
        <f>IFERROR(__xludf.DUMMYFUNCTION("""COMPUTED_VALUE"""),"     Veterinary Care Clinic               ")</f>
        <v>     Veterinary Care Clinic               </v>
      </c>
      <c r="C716" s="29" t="str">
        <f>IFERROR(__xludf.DUMMYFUNCTION("""COMPUTED_VALUE"""),"GENEPIO:0100228")</f>
        <v>GENEPIO:0100228</v>
      </c>
      <c r="D716"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16" s="29"/>
      <c r="F716" s="29"/>
      <c r="G716" s="29"/>
      <c r="H716" s="56" t="s">
        <v>19</v>
      </c>
      <c r="I716" s="56" t="s">
        <v>19</v>
      </c>
      <c r="J716" s="56" t="s">
        <v>19</v>
      </c>
      <c r="K716" s="55" t="str">
        <f t="shared" si="47"/>
        <v>Mpox</v>
      </c>
      <c r="M716" s="40"/>
    </row>
    <row r="717">
      <c r="A717" s="29"/>
      <c r="B717" s="53" t="str">
        <f>IFERROR(__xludf.DUMMYFUNCTION("""COMPUTED_VALUE"""),"Travel Exposure                    ")</f>
        <v>Travel Exposure                    </v>
      </c>
      <c r="C717" s="29" t="str">
        <f>IFERROR(__xludf.DUMMYFUNCTION("""COMPUTED_VALUE"""),"GENEPIO:0100229")</f>
        <v>GENEPIO:0100229</v>
      </c>
      <c r="D717" s="29" t="str">
        <f>IFERROR(__xludf.DUMMYFUNCTION("""COMPUTED_VALUE"""),"A process occuring as a result of travel that exposes the recipient organism to a material entity.")</f>
        <v>A process occuring as a result of travel that exposes the recipient organism to a material entity.</v>
      </c>
      <c r="E717" s="29"/>
      <c r="F717" s="29"/>
      <c r="G717" s="29"/>
      <c r="H717" s="56" t="s">
        <v>19</v>
      </c>
      <c r="I717" s="56" t="s">
        <v>19</v>
      </c>
      <c r="J717" s="56" t="s">
        <v>19</v>
      </c>
      <c r="K717" s="55" t="str">
        <f t="shared" si="47"/>
        <v>Mpox</v>
      </c>
      <c r="M717" s="40"/>
    </row>
    <row r="718">
      <c r="A718" s="29"/>
      <c r="B718" s="53" t="str">
        <f>IFERROR(__xludf.DUMMYFUNCTION("""COMPUTED_VALUE"""),"     Travelled on a Cruise Ship               ")</f>
        <v>     Travelled on a Cruise Ship               </v>
      </c>
      <c r="C718" s="29" t="str">
        <f>IFERROR(__xludf.DUMMYFUNCTION("""COMPUTED_VALUE"""),"GENEPIO:0100230")</f>
        <v>GENEPIO:0100230</v>
      </c>
      <c r="D718"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E718" s="29"/>
      <c r="F718" s="29"/>
      <c r="G718" s="29"/>
      <c r="H718" s="56" t="s">
        <v>19</v>
      </c>
      <c r="I718" s="56" t="s">
        <v>19</v>
      </c>
      <c r="J718" s="56" t="s">
        <v>19</v>
      </c>
      <c r="K718" s="55" t="str">
        <f t="shared" si="47"/>
        <v>Mpox</v>
      </c>
      <c r="M718" s="40"/>
    </row>
    <row r="719">
      <c r="A719" s="29"/>
      <c r="B719" s="53" t="str">
        <f>IFERROR(__xludf.DUMMYFUNCTION("""COMPUTED_VALUE"""),"     Travelled on a Plane               ")</f>
        <v>     Travelled on a Plane               </v>
      </c>
      <c r="C719" s="29" t="str">
        <f>IFERROR(__xludf.DUMMYFUNCTION("""COMPUTED_VALUE"""),"GENEPIO:0100231")</f>
        <v>GENEPIO:0100231</v>
      </c>
      <c r="D719"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E719" s="29"/>
      <c r="F719" s="29"/>
      <c r="G719" s="29"/>
      <c r="H719" s="56" t="s">
        <v>19</v>
      </c>
      <c r="I719" s="56" t="s">
        <v>19</v>
      </c>
      <c r="J719" s="56" t="s">
        <v>19</v>
      </c>
      <c r="K719" s="55" t="str">
        <f t="shared" si="47"/>
        <v>Mpox</v>
      </c>
      <c r="M719" s="40"/>
    </row>
    <row r="720">
      <c r="A720" s="29"/>
      <c r="B720" s="53" t="str">
        <f>IFERROR(__xludf.DUMMYFUNCTION("""COMPUTED_VALUE"""),"     Travelled on Ground Transport               ")</f>
        <v>     Travelled on Ground Transport               </v>
      </c>
      <c r="C720" s="29" t="str">
        <f>IFERROR(__xludf.DUMMYFUNCTION("""COMPUTED_VALUE"""),"GENEPIO:0100232")</f>
        <v>GENEPIO:0100232</v>
      </c>
      <c r="D720"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E720" s="29"/>
      <c r="F720" s="29"/>
      <c r="G720" s="29"/>
      <c r="H720" s="56" t="s">
        <v>19</v>
      </c>
      <c r="I720" s="56" t="s">
        <v>19</v>
      </c>
      <c r="J720" s="56" t="s">
        <v>19</v>
      </c>
      <c r="K720" s="55" t="str">
        <f t="shared" si="47"/>
        <v>Mpox</v>
      </c>
      <c r="M720" s="40"/>
    </row>
    <row r="721">
      <c r="A721" s="29"/>
      <c r="B721" s="53" t="str">
        <f>IFERROR(__xludf.DUMMYFUNCTION("""COMPUTED_VALUE"""),"Other Exposure Setting                    ")</f>
        <v>Other Exposure Setting                    </v>
      </c>
      <c r="C721" s="29" t="str">
        <f>IFERROR(__xludf.DUMMYFUNCTION("""COMPUTED_VALUE"""),"GENEPIO:0100235")</f>
        <v>GENEPIO:0100235</v>
      </c>
      <c r="D721" s="29" t="str">
        <f>IFERROR(__xludf.DUMMYFUNCTION("""COMPUTED_VALUE"""),"A process occuring that exposes the recipient organism to a material entity.")</f>
        <v>A process occuring that exposes the recipient organism to a material entity.</v>
      </c>
      <c r="E721" s="29"/>
      <c r="F721" s="29"/>
      <c r="G721" s="29"/>
      <c r="H721" s="56" t="s">
        <v>19</v>
      </c>
      <c r="I721" s="56" t="s">
        <v>19</v>
      </c>
      <c r="J721" s="56" t="s">
        <v>19</v>
      </c>
      <c r="K721" s="55" t="str">
        <f t="shared" si="47"/>
        <v>Mpox</v>
      </c>
      <c r="M721" s="40"/>
    </row>
    <row r="722">
      <c r="A722" s="29"/>
      <c r="B722" s="53" t="str">
        <f>IFERROR(__xludf.DUMMYFUNCTION("""COMPUTED_VALUE"""),"                    ")</f>
        <v>                    </v>
      </c>
      <c r="C722" s="29"/>
      <c r="D722" s="29" t="str">
        <f>IFERROR(__xludf.DUMMYFUNCTION("""COMPUTED_VALUE"""),"")</f>
        <v/>
      </c>
      <c r="E722" s="29"/>
      <c r="F722" s="29"/>
      <c r="G722" s="29"/>
      <c r="H722" s="56" t="s">
        <v>19</v>
      </c>
      <c r="I722" s="56" t="s">
        <v>19</v>
      </c>
      <c r="J722" s="56" t="s">
        <v>19</v>
      </c>
      <c r="K722" s="55" t="str">
        <f t="shared" si="47"/>
        <v>Mpox</v>
      </c>
      <c r="M722" s="58"/>
    </row>
    <row r="723" hidden="1">
      <c r="A723" s="29" t="str">
        <f>IFERROR(__xludf.DUMMYFUNCTION("""COMPUTED_VALUE"""),"exposure setting international menu")</f>
        <v>exposure setting international menu</v>
      </c>
      <c r="B723" s="53" t="str">
        <f>IFERROR(__xludf.DUMMYFUNCTION("""COMPUTED_VALUE"""),"                    ")</f>
        <v>                    </v>
      </c>
      <c r="C723" s="29"/>
      <c r="D723" s="29" t="str">
        <f>IFERROR(__xludf.DUMMYFUNCTION("""COMPUTED_VALUE"""),"")</f>
        <v/>
      </c>
      <c r="E723" s="29"/>
      <c r="F723" s="29"/>
      <c r="G723" s="29"/>
      <c r="H723" s="56"/>
      <c r="I723" s="56"/>
      <c r="J723" s="56"/>
      <c r="K723" s="59" t="s">
        <v>27</v>
      </c>
      <c r="L723" s="34" t="str">
        <f>LEFT(A723, LEN(A723) - 5)
</f>
        <v>exposure setting international</v>
      </c>
      <c r="M723" s="34" t="str">
        <f>VLOOKUP(L723,'Field Reference Guide'!$B$6:$N$220,13,false)</f>
        <v>#N/A</v>
      </c>
    </row>
    <row r="724" hidden="1">
      <c r="A724" s="29"/>
      <c r="B724" s="53" t="str">
        <f>IFERROR(__xludf.DUMMYFUNCTION("""COMPUTED_VALUE"""),"Human Exposure [ECTO:3000005]                    ")</f>
        <v>Human Exposure [ECTO:3000005]                    </v>
      </c>
      <c r="C724" s="29" t="str">
        <f>IFERROR(__xludf.DUMMYFUNCTION("""COMPUTED_VALUE"""),"ECTO:3000005")</f>
        <v>ECTO:3000005</v>
      </c>
      <c r="D724" s="29" t="str">
        <f>IFERROR(__xludf.DUMMYFUNCTION("""COMPUTED_VALUE"""),"A history of exposure to Homo sapiens.")</f>
        <v>A history of exposure to Homo sapiens.</v>
      </c>
      <c r="E724" s="29"/>
      <c r="F724" s="29"/>
      <c r="G724" s="29"/>
      <c r="H724" s="56" t="s">
        <v>19</v>
      </c>
      <c r="I724" s="56" t="s">
        <v>19</v>
      </c>
      <c r="J724" s="56" t="s">
        <v>19</v>
      </c>
      <c r="K724" s="55" t="str">
        <f t="shared" ref="K724:K783" si="48">K723</f>
        <v>International</v>
      </c>
      <c r="M724" s="57" t="s">
        <v>28</v>
      </c>
    </row>
    <row r="725" hidden="1">
      <c r="A725" s="29"/>
      <c r="B725" s="53" t="str">
        <f>IFERROR(__xludf.DUMMYFUNCTION("""COMPUTED_VALUE"""),"     Contact with Known Monkeypox Case [GENEPIO:0100501]               ")</f>
        <v>     Contact with Known Monkeypox Case [GENEPIO:0100501]               </v>
      </c>
      <c r="C725" s="29" t="str">
        <f>IFERROR(__xludf.DUMMYFUNCTION("""COMPUTED_VALUE"""),"GENEPIO:0100501")</f>
        <v>GENEPIO:0100501</v>
      </c>
      <c r="D725" s="29" t="str">
        <f>IFERROR(__xludf.DUMMYFUNCTION("""COMPUTED_VALUE"""),"A process occuring within or in the vicinity of a human with a confirmed case of COVID-19 that exposes the recipient organism to Monkeypox.")</f>
        <v>A process occuring within or in the vicinity of a human with a confirmed case of COVID-19 that exposes the recipient organism to Monkeypox.</v>
      </c>
      <c r="E725" s="29"/>
      <c r="F725" s="29"/>
      <c r="G725" s="29"/>
      <c r="H725" s="56" t="s">
        <v>19</v>
      </c>
      <c r="I725" s="56" t="s">
        <v>19</v>
      </c>
      <c r="J725" s="56" t="s">
        <v>19</v>
      </c>
      <c r="K725" s="55" t="str">
        <f t="shared" si="48"/>
        <v>International</v>
      </c>
      <c r="M725" s="40"/>
    </row>
    <row r="726" hidden="1">
      <c r="A726" s="29"/>
      <c r="B726" s="53" t="str">
        <f>IFERROR(__xludf.DUMMYFUNCTION("""COMPUTED_VALUE"""),"     Contact with Patient [GENEPIO:0100185]               ")</f>
        <v>     Contact with Patient [GENEPIO:0100185]               </v>
      </c>
      <c r="C726" s="29" t="str">
        <f>IFERROR(__xludf.DUMMYFUNCTION("""COMPUTED_VALUE"""),"GENEPIO:0100185")</f>
        <v>GENEPIO:0100185</v>
      </c>
      <c r="D726" s="29" t="str">
        <f>IFERROR(__xludf.DUMMYFUNCTION("""COMPUTED_VALUE"""),"A process occuring within or in the vicinity of a human patient that exposes the recipient organism to a material entity.")</f>
        <v>A process occuring within or in the vicinity of a human patient that exposes the recipient organism to a material entity.</v>
      </c>
      <c r="E726" s="29"/>
      <c r="F726" s="29"/>
      <c r="G726" s="29"/>
      <c r="H726" s="56" t="s">
        <v>19</v>
      </c>
      <c r="I726" s="56" t="s">
        <v>19</v>
      </c>
      <c r="J726" s="56" t="s">
        <v>19</v>
      </c>
      <c r="K726" s="55" t="str">
        <f t="shared" si="48"/>
        <v>International</v>
      </c>
      <c r="M726" s="40"/>
    </row>
    <row r="727" hidden="1">
      <c r="A727" s="29"/>
      <c r="B727" s="53" t="str">
        <f>IFERROR(__xludf.DUMMYFUNCTION("""COMPUTED_VALUE"""),"     Contact with Probable Monkeypox Case [GENEPIO:0100502]               ")</f>
        <v>     Contact with Probable Monkeypox Case [GENEPIO:0100502]               </v>
      </c>
      <c r="C727" s="29" t="str">
        <f>IFERROR(__xludf.DUMMYFUNCTION("""COMPUTED_VALUE"""),"GENEPIO:0100502")</f>
        <v>GENEPIO:0100502</v>
      </c>
      <c r="D727" s="29" t="str">
        <f>IFERROR(__xludf.DUMMYFUNCTION("""COMPUTED_VALUE"""),"A process occuring within or in the vicinity of a human with a probable case of COVID-19 that exposes the recipient organism to Monkeypox.")</f>
        <v>A process occuring within or in the vicinity of a human with a probable case of COVID-19 that exposes the recipient organism to Monkeypox.</v>
      </c>
      <c r="E727" s="29"/>
      <c r="F727" s="29"/>
      <c r="G727" s="29"/>
      <c r="H727" s="56" t="s">
        <v>19</v>
      </c>
      <c r="I727" s="56" t="s">
        <v>19</v>
      </c>
      <c r="J727" s="56" t="s">
        <v>19</v>
      </c>
      <c r="K727" s="55" t="str">
        <f t="shared" si="48"/>
        <v>International</v>
      </c>
      <c r="M727" s="40"/>
    </row>
    <row r="728" hidden="1">
      <c r="A728" s="29"/>
      <c r="B728" s="53" t="str">
        <f>IFERROR(__xludf.DUMMYFUNCTION("""COMPUTED_VALUE"""),"     Contact with Person who Recently Travelled [GENEPIO:0100189]               ")</f>
        <v>     Contact with Person who Recently Travelled [GENEPIO:0100189]               </v>
      </c>
      <c r="C728" s="29" t="str">
        <f>IFERROR(__xludf.DUMMYFUNCTION("""COMPUTED_VALUE"""),"GENEPIO:0100189")</f>
        <v>GENEPIO:0100189</v>
      </c>
      <c r="D728" s="29" t="str">
        <f>IFERROR(__xludf.DUMMYFUNCTION("""COMPUTED_VALUE"""),"A process occuring within or in the vicinity of a human, who recently travelled, that exposes the recipient organism to a material entity.")</f>
        <v>A process occuring within or in the vicinity of a human, who recently travelled, that exposes the recipient organism to a material entity.</v>
      </c>
      <c r="E728" s="29"/>
      <c r="F728" s="29"/>
      <c r="G728" s="29"/>
      <c r="H728" s="56" t="s">
        <v>19</v>
      </c>
      <c r="I728" s="56" t="s">
        <v>19</v>
      </c>
      <c r="J728" s="56" t="s">
        <v>19</v>
      </c>
      <c r="K728" s="55" t="str">
        <f t="shared" si="48"/>
        <v>International</v>
      </c>
      <c r="M728" s="40"/>
    </row>
    <row r="729" hidden="1">
      <c r="A729" s="29"/>
      <c r="B729" s="53" t="str">
        <f>IFERROR(__xludf.DUMMYFUNCTION("""COMPUTED_VALUE"""),"Occupational, Residency or Patronage Exposure [GENEPIO:0100190]                    ")</f>
        <v>Occupational, Residency or Patronage Exposure [GENEPIO:0100190]                    </v>
      </c>
      <c r="C729" s="29" t="str">
        <f>IFERROR(__xludf.DUMMYFUNCTION("""COMPUTED_VALUE"""),"GENEPIO:0100190")</f>
        <v>GENEPIO:0100190</v>
      </c>
      <c r="D729" s="29" t="str">
        <f>IFERROR(__xludf.DUMMYFUNCTION("""COMPUTED_VALUE"""),"A process occuring within or in the vicinity of a human residential environment that exposes the recipient organism to a material entity.")</f>
        <v>A process occuring within or in the vicinity of a human residential environment that exposes the recipient organism to a material entity.</v>
      </c>
      <c r="E729" s="29"/>
      <c r="F729" s="29"/>
      <c r="G729" s="29"/>
      <c r="H729" s="56" t="s">
        <v>19</v>
      </c>
      <c r="I729" s="56" t="s">
        <v>19</v>
      </c>
      <c r="J729" s="56" t="s">
        <v>19</v>
      </c>
      <c r="K729" s="55" t="str">
        <f t="shared" si="48"/>
        <v>International</v>
      </c>
      <c r="M729" s="40"/>
    </row>
    <row r="730" hidden="1">
      <c r="A730" s="29"/>
      <c r="B730" s="53" t="str">
        <f>IFERROR(__xludf.DUMMYFUNCTION("""COMPUTED_VALUE"""),"     Abbatoir [ECTO:1000033]               ")</f>
        <v>     Abbatoir [ECTO:1000033]               </v>
      </c>
      <c r="C730" s="29" t="str">
        <f>IFERROR(__xludf.DUMMYFUNCTION("""COMPUTED_VALUE"""),"ECTO:1000033")</f>
        <v>ECTO:1000033</v>
      </c>
      <c r="D730" s="29" t="str">
        <f>IFERROR(__xludf.DUMMYFUNCTION("""COMPUTED_VALUE"""),"A exposure event involving the interaction of an exposure receptor to abattoir.")</f>
        <v>A exposure event involving the interaction of an exposure receptor to abattoir.</v>
      </c>
      <c r="E730" s="29"/>
      <c r="F730" s="29"/>
      <c r="G730" s="29"/>
      <c r="H730" s="56" t="s">
        <v>19</v>
      </c>
      <c r="I730" s="56" t="s">
        <v>19</v>
      </c>
      <c r="J730" s="56" t="s">
        <v>19</v>
      </c>
      <c r="K730" s="55" t="str">
        <f t="shared" si="48"/>
        <v>International</v>
      </c>
      <c r="M730" s="40"/>
    </row>
    <row r="731" hidden="1">
      <c r="A731" s="29"/>
      <c r="B731" s="53" t="str">
        <f>IFERROR(__xludf.DUMMYFUNCTION("""COMPUTED_VALUE"""),"     Animal Rescue [GENEPIO:0100191]               ")</f>
        <v>     Animal Rescue [GENEPIO:0100191]               </v>
      </c>
      <c r="C731" s="29" t="str">
        <f>IFERROR(__xludf.DUMMYFUNCTION("""COMPUTED_VALUE"""),"GENEPIO:0100191")</f>
        <v>GENEPIO:0100191</v>
      </c>
      <c r="D731" s="29" t="str">
        <f>IFERROR(__xludf.DUMMYFUNCTION("""COMPUTED_VALUE"""),"A process occuring within or in the vicinity of an animal rescue facility that exposes the recipient organism to a material entity.")</f>
        <v>A process occuring within or in the vicinity of an animal rescue facility that exposes the recipient organism to a material entity.</v>
      </c>
      <c r="E731" s="29"/>
      <c r="F731" s="29"/>
      <c r="G731" s="29"/>
      <c r="H731" s="56" t="s">
        <v>19</v>
      </c>
      <c r="I731" s="56" t="s">
        <v>19</v>
      </c>
      <c r="J731" s="56" t="s">
        <v>19</v>
      </c>
      <c r="K731" s="55" t="str">
        <f t="shared" si="48"/>
        <v>International</v>
      </c>
      <c r="M731" s="40"/>
    </row>
    <row r="732" hidden="1">
      <c r="A732" s="29"/>
      <c r="B732" s="53" t="str">
        <f>IFERROR(__xludf.DUMMYFUNCTION("""COMPUTED_VALUE"""),"     Bar (pub) [GENEPIO:0100503]               ")</f>
        <v>     Bar (pub) [GENEPIO:0100503]               </v>
      </c>
      <c r="C732" s="29" t="str">
        <f>IFERROR(__xludf.DUMMYFUNCTION("""COMPUTED_VALUE"""),"GENEPIO:0100503")</f>
        <v>GENEPIO:0100503</v>
      </c>
      <c r="D732" s="29" t="str">
        <f>IFERROR(__xludf.DUMMYFUNCTION("""COMPUTED_VALUE"""),"A process occurring within or in the vicinity of a bar or pub environment that exposes the recipient organism to a material entity")</f>
        <v>A process occurring within or in the vicinity of a bar or pub environment that exposes the recipient organism to a material entity</v>
      </c>
      <c r="E732" s="29"/>
      <c r="F732" s="29"/>
      <c r="G732" s="29"/>
      <c r="H732" s="56" t="s">
        <v>19</v>
      </c>
      <c r="I732" s="56" t="s">
        <v>19</v>
      </c>
      <c r="J732" s="56" t="s">
        <v>19</v>
      </c>
      <c r="K732" s="55" t="str">
        <f t="shared" si="48"/>
        <v>International</v>
      </c>
      <c r="M732" s="40"/>
    </row>
    <row r="733" hidden="1">
      <c r="A733" s="29"/>
      <c r="B733" s="53" t="str">
        <f>IFERROR(__xludf.DUMMYFUNCTION("""COMPUTED_VALUE"""),"     Childcare [GENEPIO:0100192]               ")</f>
        <v>     Childcare [GENEPIO:0100192]               </v>
      </c>
      <c r="C733" s="29" t="str">
        <f>IFERROR(__xludf.DUMMYFUNCTION("""COMPUTED_VALUE"""),"GENEPIO:0100192")</f>
        <v>GENEPIO:0100192</v>
      </c>
      <c r="D733" s="29" t="str">
        <f>IFERROR(__xludf.DUMMYFUNCTION("""COMPUTED_VALUE"""),"A process occuring within or in the vicinity of a human childcare environment that exposes the recipient organism to a material entity.")</f>
        <v>A process occuring within or in the vicinity of a human childcare environment that exposes the recipient organism to a material entity.</v>
      </c>
      <c r="E733" s="29"/>
      <c r="F733" s="29"/>
      <c r="G733" s="29"/>
      <c r="H733" s="56" t="s">
        <v>19</v>
      </c>
      <c r="I733" s="56" t="s">
        <v>19</v>
      </c>
      <c r="J733" s="56" t="s">
        <v>19</v>
      </c>
      <c r="K733" s="55" t="str">
        <f t="shared" si="48"/>
        <v>International</v>
      </c>
      <c r="M733" s="40"/>
    </row>
    <row r="734" hidden="1">
      <c r="A734" s="29"/>
      <c r="B734" s="53" t="str">
        <f>IFERROR(__xludf.DUMMYFUNCTION("""COMPUTED_VALUE"""),"          Daycare [GENEPIO:0100193]          ")</f>
        <v>          Daycare [GENEPIO:0100193]          </v>
      </c>
      <c r="C734" s="29" t="str">
        <f>IFERROR(__xludf.DUMMYFUNCTION("""COMPUTED_VALUE"""),"GENEPIO:0100193")</f>
        <v>GENEPIO:0100193</v>
      </c>
      <c r="D734" s="29" t="str">
        <f>IFERROR(__xludf.DUMMYFUNCTION("""COMPUTED_VALUE"""),"A process occuring within or in the vicinity of a human daycare environment that exposes the recipient organism to a material entity.")</f>
        <v>A process occuring within or in the vicinity of a human daycare environment that exposes the recipient organism to a material entity.</v>
      </c>
      <c r="E734" s="29"/>
      <c r="F734" s="29"/>
      <c r="G734" s="29"/>
      <c r="H734" s="56" t="s">
        <v>19</v>
      </c>
      <c r="I734" s="56" t="s">
        <v>19</v>
      </c>
      <c r="J734" s="56" t="s">
        <v>19</v>
      </c>
      <c r="K734" s="55" t="str">
        <f t="shared" si="48"/>
        <v>International</v>
      </c>
      <c r="M734" s="40"/>
    </row>
    <row r="735" hidden="1">
      <c r="A735" s="29"/>
      <c r="B735" s="53" t="str">
        <f>IFERROR(__xludf.DUMMYFUNCTION("""COMPUTED_VALUE"""),"          Nursery [GENEPIO:0100194]          ")</f>
        <v>          Nursery [GENEPIO:0100194]          </v>
      </c>
      <c r="C735" s="29" t="str">
        <f>IFERROR(__xludf.DUMMYFUNCTION("""COMPUTED_VALUE"""),"GENEPIO:0100194")</f>
        <v>GENEPIO:0100194</v>
      </c>
      <c r="D735" s="29" t="str">
        <f>IFERROR(__xludf.DUMMYFUNCTION("""COMPUTED_VALUE"""),"A process occuring within or in the vicinity of a human nursery that exposes the recipient organism to a material entity.")</f>
        <v>A process occuring within or in the vicinity of a human nursery that exposes the recipient organism to a material entity.</v>
      </c>
      <c r="E735" s="29"/>
      <c r="F735" s="29"/>
      <c r="G735" s="29"/>
      <c r="H735" s="56" t="s">
        <v>19</v>
      </c>
      <c r="I735" s="56" t="s">
        <v>19</v>
      </c>
      <c r="J735" s="56" t="s">
        <v>19</v>
      </c>
      <c r="K735" s="55" t="str">
        <f t="shared" si="48"/>
        <v>International</v>
      </c>
      <c r="M735" s="40"/>
    </row>
    <row r="736" hidden="1">
      <c r="A736" s="29"/>
      <c r="B736" s="53" t="str">
        <f>IFERROR(__xludf.DUMMYFUNCTION("""COMPUTED_VALUE"""),"     Community Service Centre [GENEPIO:0100195]               ")</f>
        <v>     Community Service Centre [GENEPIO:0100195]               </v>
      </c>
      <c r="C736" s="29" t="str">
        <f>IFERROR(__xludf.DUMMYFUNCTION("""COMPUTED_VALUE"""),"GENEPIO:0100195")</f>
        <v>GENEPIO:0100195</v>
      </c>
      <c r="D736" s="29" t="str">
        <f>IFERROR(__xludf.DUMMYFUNCTION("""COMPUTED_VALUE"""),"A process occuring within or in the vicinity of a community service centre that exposes the recipient organism to a material entity.")</f>
        <v>A process occuring within or in the vicinity of a community service centre that exposes the recipient organism to a material entity.</v>
      </c>
      <c r="E736" s="29"/>
      <c r="F736" s="29"/>
      <c r="G736" s="29"/>
      <c r="H736" s="56" t="s">
        <v>19</v>
      </c>
      <c r="I736" s="56" t="s">
        <v>19</v>
      </c>
      <c r="J736" s="56" t="s">
        <v>19</v>
      </c>
      <c r="K736" s="55" t="str">
        <f t="shared" si="48"/>
        <v>International</v>
      </c>
      <c r="M736" s="40"/>
    </row>
    <row r="737" hidden="1">
      <c r="A737" s="29"/>
      <c r="B737" s="53" t="str">
        <f>IFERROR(__xludf.DUMMYFUNCTION("""COMPUTED_VALUE"""),"     Correctional Facility [GENEPIO:0100196]               ")</f>
        <v>     Correctional Facility [GENEPIO:0100196]               </v>
      </c>
      <c r="C737" s="29" t="str">
        <f>IFERROR(__xludf.DUMMYFUNCTION("""COMPUTED_VALUE"""),"GENEPIO:0100196")</f>
        <v>GENEPIO:0100196</v>
      </c>
      <c r="D737" s="29" t="str">
        <f>IFERROR(__xludf.DUMMYFUNCTION("""COMPUTED_VALUE"""),"A process occuring within or in the vicinity of a correctional facility that exposes the recipient organism to a material entity.")</f>
        <v>A process occuring within or in the vicinity of a correctional facility that exposes the recipient organism to a material entity.</v>
      </c>
      <c r="E737" s="29"/>
      <c r="F737" s="29"/>
      <c r="G737" s="29"/>
      <c r="H737" s="56" t="s">
        <v>19</v>
      </c>
      <c r="I737" s="56" t="s">
        <v>19</v>
      </c>
      <c r="J737" s="56" t="s">
        <v>19</v>
      </c>
      <c r="K737" s="55" t="str">
        <f t="shared" si="48"/>
        <v>International</v>
      </c>
      <c r="M737" s="40"/>
    </row>
    <row r="738" hidden="1">
      <c r="A738" s="29"/>
      <c r="B738" s="53" t="str">
        <f>IFERROR(__xludf.DUMMYFUNCTION("""COMPUTED_VALUE"""),"     Dormitory [GENEPIO:0100197]               ")</f>
        <v>     Dormitory [GENEPIO:0100197]               </v>
      </c>
      <c r="C738" s="29" t="str">
        <f>IFERROR(__xludf.DUMMYFUNCTION("""COMPUTED_VALUE"""),"GENEPIO:0100197")</f>
        <v>GENEPIO:0100197</v>
      </c>
      <c r="D738" s="29" t="str">
        <f>IFERROR(__xludf.DUMMYFUNCTION("""COMPUTED_VALUE"""),"A process occuring within or in the vicinity of a dormitory that exposes the recipient organism to a material entity.")</f>
        <v>A process occuring within or in the vicinity of a dormitory that exposes the recipient organism to a material entity.</v>
      </c>
      <c r="E738" s="29"/>
      <c r="F738" s="29"/>
      <c r="G738" s="29"/>
      <c r="H738" s="56" t="s">
        <v>19</v>
      </c>
      <c r="I738" s="56" t="s">
        <v>19</v>
      </c>
      <c r="J738" s="56" t="s">
        <v>19</v>
      </c>
      <c r="K738" s="55" t="str">
        <f t="shared" si="48"/>
        <v>International</v>
      </c>
      <c r="M738" s="40"/>
    </row>
    <row r="739" hidden="1">
      <c r="A739" s="29"/>
      <c r="B739" s="53" t="str">
        <f>IFERROR(__xludf.DUMMYFUNCTION("""COMPUTED_VALUE"""),"     Farm [ECTO:1000034]               ")</f>
        <v>     Farm [ECTO:1000034]               </v>
      </c>
      <c r="C739" s="29" t="str">
        <f>IFERROR(__xludf.DUMMYFUNCTION("""COMPUTED_VALUE"""),"ECTO:1000034")</f>
        <v>ECTO:1000034</v>
      </c>
      <c r="D739" s="29" t="str">
        <f>IFERROR(__xludf.DUMMYFUNCTION("""COMPUTED_VALUE"""),"A exposure event involving the interaction of an exposure receptor to farm")</f>
        <v>A exposure event involving the interaction of an exposure receptor to farm</v>
      </c>
      <c r="E739" s="29"/>
      <c r="F739" s="29"/>
      <c r="G739" s="29"/>
      <c r="H739" s="56" t="s">
        <v>19</v>
      </c>
      <c r="I739" s="56" t="s">
        <v>19</v>
      </c>
      <c r="J739" s="56" t="s">
        <v>19</v>
      </c>
      <c r="K739" s="55" t="str">
        <f t="shared" si="48"/>
        <v>International</v>
      </c>
      <c r="M739" s="40"/>
    </row>
    <row r="740" hidden="1">
      <c r="A740" s="29"/>
      <c r="B740" s="53" t="str">
        <f>IFERROR(__xludf.DUMMYFUNCTION("""COMPUTED_VALUE"""),"     First Nations Reserve [GENEPIO:0100198]               ")</f>
        <v>     First Nations Reserve [GENEPIO:0100198]               </v>
      </c>
      <c r="C740" s="29" t="str">
        <f>IFERROR(__xludf.DUMMYFUNCTION("""COMPUTED_VALUE"""),"GENEPIO:0100198")</f>
        <v>GENEPIO:0100198</v>
      </c>
      <c r="D740" s="29" t="str">
        <f>IFERROR(__xludf.DUMMYFUNCTION("""COMPUTED_VALUE"""),"A process occuring within or in the vicinity of a first nations reserve that exposes the recipient organism to a material entity.")</f>
        <v>A process occuring within or in the vicinity of a first nations reserve that exposes the recipient organism to a material entity.</v>
      </c>
      <c r="E740" s="29"/>
      <c r="F740" s="29"/>
      <c r="G740" s="29"/>
      <c r="H740" s="56" t="s">
        <v>19</v>
      </c>
      <c r="I740" s="56" t="s">
        <v>19</v>
      </c>
      <c r="J740" s="56" t="s">
        <v>19</v>
      </c>
      <c r="K740" s="55" t="str">
        <f t="shared" si="48"/>
        <v>International</v>
      </c>
      <c r="M740" s="40"/>
    </row>
    <row r="741" hidden="1">
      <c r="A741" s="29"/>
      <c r="B741" s="53" t="str">
        <f>IFERROR(__xludf.DUMMYFUNCTION("""COMPUTED_VALUE"""),"     Funeral Home [GENEPIO:0100199]               ")</f>
        <v>     Funeral Home [GENEPIO:0100199]               </v>
      </c>
      <c r="C741" s="29" t="str">
        <f>IFERROR(__xludf.DUMMYFUNCTION("""COMPUTED_VALUE"""),"GENEPIO:0100199")</f>
        <v>GENEPIO:0100199</v>
      </c>
      <c r="D741"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41" s="29"/>
      <c r="F741" s="29"/>
      <c r="G741" s="29"/>
      <c r="H741" s="56" t="s">
        <v>19</v>
      </c>
      <c r="I741" s="56" t="s">
        <v>19</v>
      </c>
      <c r="J741" s="56" t="s">
        <v>19</v>
      </c>
      <c r="K741" s="55" t="str">
        <f t="shared" si="48"/>
        <v>International</v>
      </c>
      <c r="M741" s="40"/>
    </row>
    <row r="742" hidden="1">
      <c r="A742" s="29"/>
      <c r="B742" s="53" t="str">
        <f>IFERROR(__xludf.DUMMYFUNCTION("""COMPUTED_VALUE"""),"     Group Home [GENEPIO:0100200]               ")</f>
        <v>     Group Home [GENEPIO:0100200]               </v>
      </c>
      <c r="C742" s="29" t="str">
        <f>IFERROR(__xludf.DUMMYFUNCTION("""COMPUTED_VALUE"""),"GENEPIO:0100200")</f>
        <v>GENEPIO:0100200</v>
      </c>
      <c r="D742" s="29" t="str">
        <f>IFERROR(__xludf.DUMMYFUNCTION("""COMPUTED_VALUE"""),"A process occuring within or in the vicinity of a group home that exposes the recipient organism to a material entity.")</f>
        <v>A process occuring within or in the vicinity of a group home that exposes the recipient organism to a material entity.</v>
      </c>
      <c r="E742" s="29"/>
      <c r="F742" s="29"/>
      <c r="G742" s="29"/>
      <c r="H742" s="56" t="s">
        <v>19</v>
      </c>
      <c r="I742" s="56" t="s">
        <v>19</v>
      </c>
      <c r="J742" s="56" t="s">
        <v>19</v>
      </c>
      <c r="K742" s="55" t="str">
        <f t="shared" si="48"/>
        <v>International</v>
      </c>
      <c r="M742" s="40"/>
    </row>
    <row r="743" hidden="1">
      <c r="A743" s="29"/>
      <c r="B743" s="53" t="str">
        <f>IFERROR(__xludf.DUMMYFUNCTION("""COMPUTED_VALUE"""),"     Healthcare Setting [GENEPIO:0100201]               ")</f>
        <v>     Healthcare Setting [GENEPIO:0100201]               </v>
      </c>
      <c r="C743" s="29" t="str">
        <f>IFERROR(__xludf.DUMMYFUNCTION("""COMPUTED_VALUE"""),"GENEPIO:0100201")</f>
        <v>GENEPIO:0100201</v>
      </c>
      <c r="D743" s="29" t="str">
        <f>IFERROR(__xludf.DUMMYFUNCTION("""COMPUTED_VALUE"""),"A process occuring within or in the vicinity of a healthcare environment that exposes the recipient organism to a material entity.")</f>
        <v>A process occuring within or in the vicinity of a healthcare environment that exposes the recipient organism to a material entity.</v>
      </c>
      <c r="E743" s="29"/>
      <c r="F743" s="29"/>
      <c r="G743" s="29"/>
      <c r="H743" s="56" t="s">
        <v>19</v>
      </c>
      <c r="I743" s="56" t="s">
        <v>19</v>
      </c>
      <c r="J743" s="56" t="s">
        <v>19</v>
      </c>
      <c r="K743" s="55" t="str">
        <f t="shared" si="48"/>
        <v>International</v>
      </c>
      <c r="M743" s="40"/>
    </row>
    <row r="744" hidden="1">
      <c r="A744" s="29"/>
      <c r="B744" s="53" t="str">
        <f>IFERROR(__xludf.DUMMYFUNCTION("""COMPUTED_VALUE"""),"          Ambulance [GENEPIO:0100202]          ")</f>
        <v>          Ambulance [GENEPIO:0100202]          </v>
      </c>
      <c r="C744" s="29" t="str">
        <f>IFERROR(__xludf.DUMMYFUNCTION("""COMPUTED_VALUE"""),"GENEPIO:0100202")</f>
        <v>GENEPIO:0100202</v>
      </c>
      <c r="D744" s="29" t="str">
        <f>IFERROR(__xludf.DUMMYFUNCTION("""COMPUTED_VALUE"""),"A process occuring within or in the vicinity of an ambulance that exposes the recipient organism to a material entity.")</f>
        <v>A process occuring within or in the vicinity of an ambulance that exposes the recipient organism to a material entity.</v>
      </c>
      <c r="E744" s="29"/>
      <c r="F744" s="29"/>
      <c r="G744" s="29"/>
      <c r="H744" s="56" t="s">
        <v>19</v>
      </c>
      <c r="I744" s="56" t="s">
        <v>19</v>
      </c>
      <c r="J744" s="56" t="s">
        <v>19</v>
      </c>
      <c r="K744" s="55" t="str">
        <f t="shared" si="48"/>
        <v>International</v>
      </c>
      <c r="M744" s="40"/>
    </row>
    <row r="745" hidden="1">
      <c r="A745" s="29"/>
      <c r="B745" s="53" t="str">
        <f>IFERROR(__xludf.DUMMYFUNCTION("""COMPUTED_VALUE"""),"          Acute Care Facility [GENEPIO:0100203]          ")</f>
        <v>          Acute Care Facility [GENEPIO:0100203]          </v>
      </c>
      <c r="C745" s="29" t="str">
        <f>IFERROR(__xludf.DUMMYFUNCTION("""COMPUTED_VALUE"""),"GENEPIO:0100203")</f>
        <v>GENEPIO:0100203</v>
      </c>
      <c r="D745" s="29" t="str">
        <f>IFERROR(__xludf.DUMMYFUNCTION("""COMPUTED_VALUE"""),"A process occuring within or in the vicinity of an acute care facility that exposes the recipient organism to a material entity.")</f>
        <v>A process occuring within or in the vicinity of an acute care facility that exposes the recipient organism to a material entity.</v>
      </c>
      <c r="E745" s="29"/>
      <c r="F745" s="29"/>
      <c r="G745" s="29"/>
      <c r="H745" s="56" t="s">
        <v>19</v>
      </c>
      <c r="I745" s="56" t="s">
        <v>19</v>
      </c>
      <c r="J745" s="56" t="s">
        <v>19</v>
      </c>
      <c r="K745" s="55" t="str">
        <f t="shared" si="48"/>
        <v>International</v>
      </c>
      <c r="M745" s="40"/>
    </row>
    <row r="746" hidden="1">
      <c r="A746" s="29"/>
      <c r="B746" s="53" t="str">
        <f>IFERROR(__xludf.DUMMYFUNCTION("""COMPUTED_VALUE"""),"          Clinic [GENEPIO:0100204]          ")</f>
        <v>          Clinic [GENEPIO:0100204]          </v>
      </c>
      <c r="C746" s="29" t="str">
        <f>IFERROR(__xludf.DUMMYFUNCTION("""COMPUTED_VALUE"""),"GENEPIO:0100204")</f>
        <v>GENEPIO:0100204</v>
      </c>
      <c r="D746" s="29" t="str">
        <f>IFERROR(__xludf.DUMMYFUNCTION("""COMPUTED_VALUE"""),"A process occuring within or in the vicinity of a medical clinic that exposes the recipient organism to a material entity.")</f>
        <v>A process occuring within or in the vicinity of a medical clinic that exposes the recipient organism to a material entity.</v>
      </c>
      <c r="E746" s="29"/>
      <c r="F746" s="29"/>
      <c r="G746" s="29"/>
      <c r="H746" s="56" t="s">
        <v>19</v>
      </c>
      <c r="I746" s="56" t="s">
        <v>19</v>
      </c>
      <c r="J746" s="56" t="s">
        <v>19</v>
      </c>
      <c r="K746" s="55" t="str">
        <f t="shared" si="48"/>
        <v>International</v>
      </c>
      <c r="M746" s="40"/>
    </row>
    <row r="747" hidden="1">
      <c r="A747" s="29"/>
      <c r="B747" s="53" t="str">
        <f>IFERROR(__xludf.DUMMYFUNCTION("""COMPUTED_VALUE"""),"          Community Healthcare (At-Home) Setting [GENEPIO:0100415]          ")</f>
        <v>          Community Healthcare (At-Home) Setting [GENEPIO:0100415]          </v>
      </c>
      <c r="C747" s="29" t="str">
        <f>IFERROR(__xludf.DUMMYFUNCTION("""COMPUTED_VALUE"""),"GENEPIO:0100415")</f>
        <v>GENEPIO:0100415</v>
      </c>
      <c r="D747" s="29" t="str">
        <f>IFERROR(__xludf.DUMMYFUNCTION("""COMPUTED_VALUE"""),"A process occuring within or in the vicinty of a the individual home where the patient or client is living and health care or supportive care is being being delivered, as opposed to care provided in group accommodations like clinics or nursing home. ")</f>
        <v>A process occuring within or in the vicinty of a the individual home where the patient or client is living and health care or supportive care is being being delivered, as opposed to care provided in group accommodations like clinics or nursing home. </v>
      </c>
      <c r="E747" s="29"/>
      <c r="F747" s="29"/>
      <c r="G747" s="29"/>
      <c r="H747" s="56" t="s">
        <v>19</v>
      </c>
      <c r="I747" s="56" t="s">
        <v>19</v>
      </c>
      <c r="J747" s="56" t="s">
        <v>19</v>
      </c>
      <c r="K747" s="55" t="str">
        <f t="shared" si="48"/>
        <v>International</v>
      </c>
      <c r="M747" s="40"/>
    </row>
    <row r="748" hidden="1">
      <c r="A748" s="29"/>
      <c r="B748" s="53" t="str">
        <f>IFERROR(__xludf.DUMMYFUNCTION("""COMPUTED_VALUE"""),"          Community Health Centre [GENEPIO:0100205]          ")</f>
        <v>          Community Health Centre [GENEPIO:0100205]          </v>
      </c>
      <c r="C748" s="29" t="str">
        <f>IFERROR(__xludf.DUMMYFUNCTION("""COMPUTED_VALUE"""),"GENEPIO:0100205")</f>
        <v>GENEPIO:0100205</v>
      </c>
      <c r="D748" s="29" t="str">
        <f>IFERROR(__xludf.DUMMYFUNCTION("""COMPUTED_VALUE"""),"A process occuring within or in the vicinity of a community health centre that exposes the recipient organism to a material entity.")</f>
        <v>A process occuring within or in the vicinity of a community health centre that exposes the recipient organism to a material entity.</v>
      </c>
      <c r="E748" s="29"/>
      <c r="F748" s="29"/>
      <c r="G748" s="29"/>
      <c r="H748" s="56" t="s">
        <v>19</v>
      </c>
      <c r="I748" s="56" t="s">
        <v>19</v>
      </c>
      <c r="J748" s="56" t="s">
        <v>19</v>
      </c>
      <c r="K748" s="55" t="str">
        <f t="shared" si="48"/>
        <v>International</v>
      </c>
      <c r="M748" s="40"/>
    </row>
    <row r="749" hidden="1">
      <c r="A749" s="29"/>
      <c r="B749" s="53" t="str">
        <f>IFERROR(__xludf.DUMMYFUNCTION("""COMPUTED_VALUE"""),"          Hospital [ECTO:1000035]          ")</f>
        <v>          Hospital [ECTO:1000035]          </v>
      </c>
      <c r="C749" s="29" t="str">
        <f>IFERROR(__xludf.DUMMYFUNCTION("""COMPUTED_VALUE"""),"ECTO:1000035")</f>
        <v>ECTO:1000035</v>
      </c>
      <c r="D749" s="29" t="str">
        <f>IFERROR(__xludf.DUMMYFUNCTION("""COMPUTED_VALUE"""),"A exposure event involving the interaction of an exposure receptor to hospital.")</f>
        <v>A exposure event involving the interaction of an exposure receptor to hospital.</v>
      </c>
      <c r="E749" s="29"/>
      <c r="F749" s="29"/>
      <c r="G749" s="29"/>
      <c r="H749" s="56" t="s">
        <v>19</v>
      </c>
      <c r="I749" s="56" t="s">
        <v>19</v>
      </c>
      <c r="J749" s="56" t="s">
        <v>19</v>
      </c>
      <c r="K749" s="55" t="str">
        <f t="shared" si="48"/>
        <v>International</v>
      </c>
      <c r="M749" s="40"/>
    </row>
    <row r="750" hidden="1">
      <c r="A750" s="29"/>
      <c r="B750" s="53" t="str">
        <f>IFERROR(__xludf.DUMMYFUNCTION("""COMPUTED_VALUE"""),"               Emergency Department [GENEPIO:0100206]     ")</f>
        <v>               Emergency Department [GENEPIO:0100206]     </v>
      </c>
      <c r="C750" s="29" t="str">
        <f>IFERROR(__xludf.DUMMYFUNCTION("""COMPUTED_VALUE"""),"GENEPIO:0100206")</f>
        <v>GENEPIO:0100206</v>
      </c>
      <c r="D750" s="29" t="str">
        <f>IFERROR(__xludf.DUMMYFUNCTION("""COMPUTED_VALUE"""),"A process occuring within or in the vicinity of an emergency department that exposes the recipient organism to a material entity.")</f>
        <v>A process occuring within or in the vicinity of an emergency department that exposes the recipient organism to a material entity.</v>
      </c>
      <c r="E750" s="29"/>
      <c r="F750" s="29"/>
      <c r="G750" s="29"/>
      <c r="H750" s="56" t="s">
        <v>19</v>
      </c>
      <c r="I750" s="56" t="s">
        <v>19</v>
      </c>
      <c r="J750" s="56" t="s">
        <v>19</v>
      </c>
      <c r="K750" s="55" t="str">
        <f t="shared" si="48"/>
        <v>International</v>
      </c>
      <c r="M750" s="40"/>
    </row>
    <row r="751" hidden="1">
      <c r="A751" s="29"/>
      <c r="B751" s="53" t="str">
        <f>IFERROR(__xludf.DUMMYFUNCTION("""COMPUTED_VALUE"""),"               ICU [GENEPIO:0100207]     ")</f>
        <v>               ICU [GENEPIO:0100207]     </v>
      </c>
      <c r="C751" s="29" t="str">
        <f>IFERROR(__xludf.DUMMYFUNCTION("""COMPUTED_VALUE"""),"GENEPIO:0100207")</f>
        <v>GENEPIO:0100207</v>
      </c>
      <c r="D751" s="29" t="str">
        <f>IFERROR(__xludf.DUMMYFUNCTION("""COMPUTED_VALUE"""),"A process occuring within or in the vicinity of an ICU that exposes the recipient organism to a material entity.")</f>
        <v>A process occuring within or in the vicinity of an ICU that exposes the recipient organism to a material entity.</v>
      </c>
      <c r="E751" s="29"/>
      <c r="F751" s="29"/>
      <c r="G751" s="29"/>
      <c r="H751" s="56" t="s">
        <v>19</v>
      </c>
      <c r="I751" s="56" t="s">
        <v>19</v>
      </c>
      <c r="J751" s="56" t="s">
        <v>19</v>
      </c>
      <c r="K751" s="55" t="str">
        <f t="shared" si="48"/>
        <v>International</v>
      </c>
      <c r="M751" s="40"/>
    </row>
    <row r="752" hidden="1">
      <c r="A752" s="29"/>
      <c r="B752" s="53" t="str">
        <f>IFERROR(__xludf.DUMMYFUNCTION("""COMPUTED_VALUE"""),"               Ward [GENEPIO:0100208]     ")</f>
        <v>               Ward [GENEPIO:0100208]     </v>
      </c>
      <c r="C752" s="29" t="str">
        <f>IFERROR(__xludf.DUMMYFUNCTION("""COMPUTED_VALUE"""),"GENEPIO:0100208")</f>
        <v>GENEPIO:0100208</v>
      </c>
      <c r="D752" s="29" t="str">
        <f>IFERROR(__xludf.DUMMYFUNCTION("""COMPUTED_VALUE"""),"A process occuring within or in the vicinity of a hospital ward that exposes the recipient organism to a material entity.")</f>
        <v>A process occuring within or in the vicinity of a hospital ward that exposes the recipient organism to a material entity.</v>
      </c>
      <c r="E752" s="29"/>
      <c r="F752" s="29"/>
      <c r="G752" s="29"/>
      <c r="H752" s="56" t="s">
        <v>19</v>
      </c>
      <c r="I752" s="56" t="s">
        <v>19</v>
      </c>
      <c r="J752" s="56" t="s">
        <v>19</v>
      </c>
      <c r="K752" s="55" t="str">
        <f t="shared" si="48"/>
        <v>International</v>
      </c>
      <c r="M752" s="40"/>
    </row>
    <row r="753" hidden="1">
      <c r="A753" s="29"/>
      <c r="B753" s="53" t="str">
        <f>IFERROR(__xludf.DUMMYFUNCTION("""COMPUTED_VALUE"""),"          Laboratory [ECTO:1000036]          ")</f>
        <v>          Laboratory [ECTO:1000036]          </v>
      </c>
      <c r="C753" s="29" t="str">
        <f>IFERROR(__xludf.DUMMYFUNCTION("""COMPUTED_VALUE"""),"ECTO:1000036")</f>
        <v>ECTO:1000036</v>
      </c>
      <c r="D753" s="29" t="str">
        <f>IFERROR(__xludf.DUMMYFUNCTION("""COMPUTED_VALUE"""),"A exposure event involving the interaction of an exposure receptor to laboratory facility.")</f>
        <v>A exposure event involving the interaction of an exposure receptor to laboratory facility.</v>
      </c>
      <c r="E753" s="29"/>
      <c r="F753" s="29"/>
      <c r="G753" s="29"/>
      <c r="H753" s="56" t="s">
        <v>19</v>
      </c>
      <c r="I753" s="56" t="s">
        <v>19</v>
      </c>
      <c r="J753" s="56" t="s">
        <v>19</v>
      </c>
      <c r="K753" s="55" t="str">
        <f t="shared" si="48"/>
        <v>International</v>
      </c>
      <c r="M753" s="40"/>
    </row>
    <row r="754" hidden="1">
      <c r="A754" s="29"/>
      <c r="B754" s="53" t="str">
        <f>IFERROR(__xludf.DUMMYFUNCTION("""COMPUTED_VALUE"""),"          Long-Term Care Facility [GENEPIO:0100209]          ")</f>
        <v>          Long-Term Care Facility [GENEPIO:0100209]          </v>
      </c>
      <c r="C754" s="29" t="str">
        <f>IFERROR(__xludf.DUMMYFUNCTION("""COMPUTED_VALUE"""),"GENEPIO:0100209")</f>
        <v>GENEPIO:0100209</v>
      </c>
      <c r="D754" s="29" t="str">
        <f>IFERROR(__xludf.DUMMYFUNCTION("""COMPUTED_VALUE"""),"A process occuring within or in the vicinity of a long-term care facility that exposes the recipient organism to a material entity.")</f>
        <v>A process occuring within or in the vicinity of a long-term care facility that exposes the recipient organism to a material entity.</v>
      </c>
      <c r="E754" s="29"/>
      <c r="F754" s="29"/>
      <c r="G754" s="29"/>
      <c r="H754" s="56" t="s">
        <v>19</v>
      </c>
      <c r="I754" s="56" t="s">
        <v>19</v>
      </c>
      <c r="J754" s="56" t="s">
        <v>19</v>
      </c>
      <c r="K754" s="55" t="str">
        <f t="shared" si="48"/>
        <v>International</v>
      </c>
      <c r="M754" s="40"/>
    </row>
    <row r="755" hidden="1">
      <c r="A755" s="29"/>
      <c r="B755" s="53" t="str">
        <f>IFERROR(__xludf.DUMMYFUNCTION("""COMPUTED_VALUE"""),"          Pharmacy [GENEPIO:0100210]          ")</f>
        <v>          Pharmacy [GENEPIO:0100210]          </v>
      </c>
      <c r="C755" s="29" t="str">
        <f>IFERROR(__xludf.DUMMYFUNCTION("""COMPUTED_VALUE"""),"GENEPIO:0100210")</f>
        <v>GENEPIO:0100210</v>
      </c>
      <c r="D755" s="29" t="str">
        <f>IFERROR(__xludf.DUMMYFUNCTION("""COMPUTED_VALUE"""),"A process occuring within or in the vicinity of a pharmacy that exposes the recipient organism to a material entity.")</f>
        <v>A process occuring within or in the vicinity of a pharmacy that exposes the recipient organism to a material entity.</v>
      </c>
      <c r="E755" s="29"/>
      <c r="F755" s="29"/>
      <c r="G755" s="29"/>
      <c r="H755" s="56" t="s">
        <v>19</v>
      </c>
      <c r="I755" s="56" t="s">
        <v>19</v>
      </c>
      <c r="J755" s="56" t="s">
        <v>19</v>
      </c>
      <c r="K755" s="55" t="str">
        <f t="shared" si="48"/>
        <v>International</v>
      </c>
      <c r="M755" s="40"/>
    </row>
    <row r="756" hidden="1">
      <c r="A756" s="29"/>
      <c r="B756" s="53" t="str">
        <f>IFERROR(__xludf.DUMMYFUNCTION("""COMPUTED_VALUE"""),"          Physician's Office [GENEPIO:0100211]          ")</f>
        <v>          Physician's Office [GENEPIO:0100211]          </v>
      </c>
      <c r="C756" s="29" t="str">
        <f>IFERROR(__xludf.DUMMYFUNCTION("""COMPUTED_VALUE"""),"GENEPIO:0100211")</f>
        <v>GENEPIO:0100211</v>
      </c>
      <c r="D756" s="29" t="str">
        <f>IFERROR(__xludf.DUMMYFUNCTION("""COMPUTED_VALUE"""),"A process occuring within or in the vicinity of a physician's office that exposes the recipient organism to a material entity.")</f>
        <v>A process occuring within or in the vicinity of a physician's office that exposes the recipient organism to a material entity.</v>
      </c>
      <c r="E756" s="29"/>
      <c r="F756" s="29"/>
      <c r="G756" s="29"/>
      <c r="H756" s="56" t="s">
        <v>19</v>
      </c>
      <c r="I756" s="56" t="s">
        <v>19</v>
      </c>
      <c r="J756" s="56" t="s">
        <v>19</v>
      </c>
      <c r="K756" s="55" t="str">
        <f t="shared" si="48"/>
        <v>International</v>
      </c>
      <c r="M756" s="40"/>
    </row>
    <row r="757" hidden="1">
      <c r="A757" s="29"/>
      <c r="B757" s="53" t="str">
        <f>IFERROR(__xludf.DUMMYFUNCTION("""COMPUTED_VALUE"""),"     Household [GENEPIO:0100212]               ")</f>
        <v>     Household [GENEPIO:0100212]               </v>
      </c>
      <c r="C757" s="29" t="str">
        <f>IFERROR(__xludf.DUMMYFUNCTION("""COMPUTED_VALUE"""),"GENEPIO:0100212")</f>
        <v>GENEPIO:0100212</v>
      </c>
      <c r="D757" s="29" t="str">
        <f>IFERROR(__xludf.DUMMYFUNCTION("""COMPUTED_VALUE"""),"A process occuring within or in the vicinity of a household that exposes the recipient organism to a material entity.")</f>
        <v>A process occuring within or in the vicinity of a household that exposes the recipient organism to a material entity.</v>
      </c>
      <c r="E757" s="29"/>
      <c r="F757" s="29"/>
      <c r="G757" s="29"/>
      <c r="H757" s="56" t="s">
        <v>19</v>
      </c>
      <c r="I757" s="56" t="s">
        <v>19</v>
      </c>
      <c r="J757" s="56" t="s">
        <v>19</v>
      </c>
      <c r="K757" s="55" t="str">
        <f t="shared" si="48"/>
        <v>International</v>
      </c>
      <c r="M757" s="40"/>
    </row>
    <row r="758" hidden="1">
      <c r="A758" s="29"/>
      <c r="B758" s="53" t="str">
        <f>IFERROR(__xludf.DUMMYFUNCTION("""COMPUTED_VALUE"""),"     Insecure Housing (Homeless) [GENEPIO:0100213]               ")</f>
        <v>     Insecure Housing (Homeless) [GENEPIO:0100213]               </v>
      </c>
      <c r="C758" s="29" t="str">
        <f>IFERROR(__xludf.DUMMYFUNCTION("""COMPUTED_VALUE"""),"GENEPIO:0100213")</f>
        <v>GENEPIO:0100213</v>
      </c>
      <c r="D758" s="29" t="str">
        <f>IFERROR(__xludf.DUMMYFUNCTION("""COMPUTED_VALUE"""),"A process occuring that exposes the recipient organism to a material entity as a consequence of said organism having insecure housing.")</f>
        <v>A process occuring that exposes the recipient organism to a material entity as a consequence of said organism having insecure housing.</v>
      </c>
      <c r="E758" s="29"/>
      <c r="F758" s="29"/>
      <c r="G758" s="29"/>
      <c r="H758" s="56" t="s">
        <v>19</v>
      </c>
      <c r="I758" s="56" t="s">
        <v>19</v>
      </c>
      <c r="J758" s="56" t="s">
        <v>19</v>
      </c>
      <c r="K758" s="55" t="str">
        <f t="shared" si="48"/>
        <v>International</v>
      </c>
      <c r="M758" s="40"/>
    </row>
    <row r="759" hidden="1">
      <c r="A759" s="29"/>
      <c r="B759" s="53" t="str">
        <f>IFERROR(__xludf.DUMMYFUNCTION("""COMPUTED_VALUE"""),"     Occupational Exposure [GENEPIO:0100214]               ")</f>
        <v>     Occupational Exposure [GENEPIO:0100214]               </v>
      </c>
      <c r="C759" s="29" t="str">
        <f>IFERROR(__xludf.DUMMYFUNCTION("""COMPUTED_VALUE"""),"GENEPIO:0100214")</f>
        <v>GENEPIO:0100214</v>
      </c>
      <c r="D759" s="29" t="str">
        <f>IFERROR(__xludf.DUMMYFUNCTION("""COMPUTED_VALUE"""),"A process occuring within or in the vicinity of a human occupational environment that exposes the recipient organism to a material entity.")</f>
        <v>A process occuring within or in the vicinity of a human occupational environment that exposes the recipient organism to a material entity.</v>
      </c>
      <c r="E759" s="29"/>
      <c r="F759" s="29"/>
      <c r="G759" s="29"/>
      <c r="H759" s="56" t="s">
        <v>19</v>
      </c>
      <c r="I759" s="56" t="s">
        <v>19</v>
      </c>
      <c r="J759" s="56" t="s">
        <v>19</v>
      </c>
      <c r="K759" s="55" t="str">
        <f t="shared" si="48"/>
        <v>International</v>
      </c>
      <c r="M759" s="40"/>
    </row>
    <row r="760" hidden="1">
      <c r="A760" s="29"/>
      <c r="B760" s="53" t="str">
        <f>IFERROR(__xludf.DUMMYFUNCTION("""COMPUTED_VALUE"""),"          Worksite [GENEPIO:0100215]          ")</f>
        <v>          Worksite [GENEPIO:0100215]          </v>
      </c>
      <c r="C760" s="29" t="str">
        <f>IFERROR(__xludf.DUMMYFUNCTION("""COMPUTED_VALUE"""),"GENEPIO:0100215")</f>
        <v>GENEPIO:0100215</v>
      </c>
      <c r="D760" s="29" t="str">
        <f>IFERROR(__xludf.DUMMYFUNCTION("""COMPUTED_VALUE"""),"A process occuring within or in the vicinity of an office that exposes the recipient organism to a material entity.")</f>
        <v>A process occuring within or in the vicinity of an office that exposes the recipient organism to a material entity.</v>
      </c>
      <c r="E760" s="29"/>
      <c r="F760" s="29"/>
      <c r="G760" s="29"/>
      <c r="H760" s="56" t="s">
        <v>19</v>
      </c>
      <c r="I760" s="56" t="s">
        <v>19</v>
      </c>
      <c r="J760" s="56" t="s">
        <v>19</v>
      </c>
      <c r="K760" s="55" t="str">
        <f t="shared" si="48"/>
        <v>International</v>
      </c>
      <c r="M760" s="40"/>
    </row>
    <row r="761" hidden="1">
      <c r="A761" s="29"/>
      <c r="B761" s="53" t="str">
        <f>IFERROR(__xludf.DUMMYFUNCTION("""COMPUTED_VALUE"""),"               Office [ECTO:1000037]     ")</f>
        <v>               Office [ECTO:1000037]     </v>
      </c>
      <c r="C761" s="29" t="str">
        <f>IFERROR(__xludf.DUMMYFUNCTION("""COMPUTED_VALUE"""),"ECTO:1000037")</f>
        <v>ECTO:1000037</v>
      </c>
      <c r="D761" s="29" t="str">
        <f>IFERROR(__xludf.DUMMYFUNCTION("""COMPUTED_VALUE"""),"A exposure event involving the interaction of an exposure receptor to office.")</f>
        <v>A exposure event involving the interaction of an exposure receptor to office.</v>
      </c>
      <c r="E761" s="29"/>
      <c r="F761" s="29"/>
      <c r="G761" s="29"/>
      <c r="H761" s="56" t="s">
        <v>19</v>
      </c>
      <c r="I761" s="56" t="s">
        <v>19</v>
      </c>
      <c r="J761" s="56" t="s">
        <v>19</v>
      </c>
      <c r="K761" s="55" t="str">
        <f t="shared" si="48"/>
        <v>International</v>
      </c>
      <c r="M761" s="40"/>
    </row>
    <row r="762" hidden="1">
      <c r="A762" s="29"/>
      <c r="B762" s="53" t="str">
        <f>IFERROR(__xludf.DUMMYFUNCTION("""COMPUTED_VALUE"""),"     Outdoors [GENEPIO:0100216]               ")</f>
        <v>     Outdoors [GENEPIO:0100216]               </v>
      </c>
      <c r="C762" s="29" t="str">
        <f>IFERROR(__xludf.DUMMYFUNCTION("""COMPUTED_VALUE"""),"GENEPIO:0100216")</f>
        <v>GENEPIO:0100216</v>
      </c>
      <c r="D762" s="29" t="str">
        <f>IFERROR(__xludf.DUMMYFUNCTION("""COMPUTED_VALUE"""),"A process occuring outdoors that exposes the recipient organism to a material entity.")</f>
        <v>A process occuring outdoors that exposes the recipient organism to a material entity.</v>
      </c>
      <c r="E762" s="29"/>
      <c r="F762" s="29"/>
      <c r="G762" s="29"/>
      <c r="H762" s="56" t="s">
        <v>19</v>
      </c>
      <c r="I762" s="56" t="s">
        <v>19</v>
      </c>
      <c r="J762" s="56" t="s">
        <v>19</v>
      </c>
      <c r="K762" s="55" t="str">
        <f t="shared" si="48"/>
        <v>International</v>
      </c>
      <c r="M762" s="40"/>
    </row>
    <row r="763" hidden="1">
      <c r="A763" s="29"/>
      <c r="B763" s="53" t="str">
        <f>IFERROR(__xludf.DUMMYFUNCTION("""COMPUTED_VALUE"""),"          Camp/camping [ECTO:5000009]          ")</f>
        <v>          Camp/camping [ECTO:5000009]          </v>
      </c>
      <c r="C763" s="29" t="str">
        <f>IFERROR(__xludf.DUMMYFUNCTION("""COMPUTED_VALUE"""),"ECTO:5000009")</f>
        <v>ECTO:5000009</v>
      </c>
      <c r="D763" s="29" t="str">
        <f>IFERROR(__xludf.DUMMYFUNCTION("""COMPUTED_VALUE"""),"A exposure event involving the interaction of an exposure receptor to campground.")</f>
        <v>A exposure event involving the interaction of an exposure receptor to campground.</v>
      </c>
      <c r="E763" s="29"/>
      <c r="F763" s="29"/>
      <c r="G763" s="29"/>
      <c r="H763" s="56" t="s">
        <v>19</v>
      </c>
      <c r="I763" s="56" t="s">
        <v>19</v>
      </c>
      <c r="J763" s="56" t="s">
        <v>19</v>
      </c>
      <c r="K763" s="55" t="str">
        <f t="shared" si="48"/>
        <v>International</v>
      </c>
      <c r="M763" s="40"/>
    </row>
    <row r="764" hidden="1">
      <c r="A764" s="29"/>
      <c r="B764" s="53" t="str">
        <f>IFERROR(__xludf.DUMMYFUNCTION("""COMPUTED_VALUE"""),"          Hiking Trail [GENEPIO:0100217]          ")</f>
        <v>          Hiking Trail [GENEPIO:0100217]          </v>
      </c>
      <c r="C764" s="29" t="str">
        <f>IFERROR(__xludf.DUMMYFUNCTION("""COMPUTED_VALUE"""),"GENEPIO:0100217")</f>
        <v>GENEPIO:0100217</v>
      </c>
      <c r="D764" s="29" t="str">
        <f>IFERROR(__xludf.DUMMYFUNCTION("""COMPUTED_VALUE"""),"A process that exposes the recipient organism to a material entity as a consequence of hiking.")</f>
        <v>A process that exposes the recipient organism to a material entity as a consequence of hiking.</v>
      </c>
      <c r="E764" s="29"/>
      <c r="F764" s="29"/>
      <c r="G764" s="29"/>
      <c r="H764" s="56" t="s">
        <v>19</v>
      </c>
      <c r="I764" s="56" t="s">
        <v>19</v>
      </c>
      <c r="J764" s="56" t="s">
        <v>19</v>
      </c>
      <c r="K764" s="55" t="str">
        <f t="shared" si="48"/>
        <v>International</v>
      </c>
      <c r="M764" s="40"/>
    </row>
    <row r="765" hidden="1">
      <c r="A765" s="29"/>
      <c r="B765" s="53" t="str">
        <f>IFERROR(__xludf.DUMMYFUNCTION("""COMPUTED_VALUE"""),"          Hunting Ground [ECTO:6000030]          ")</f>
        <v>          Hunting Ground [ECTO:6000030]          </v>
      </c>
      <c r="C765" s="29" t="str">
        <f>IFERROR(__xludf.DUMMYFUNCTION("""COMPUTED_VALUE"""),"ECTO:6000030")</f>
        <v>ECTO:6000030</v>
      </c>
      <c r="D765" s="29" t="str">
        <f>IFERROR(__xludf.DUMMYFUNCTION("""COMPUTED_VALUE"""),"An exposure event involving hunting behavior")</f>
        <v>An exposure event involving hunting behavior</v>
      </c>
      <c r="E765" s="29"/>
      <c r="F765" s="29"/>
      <c r="G765" s="29"/>
      <c r="H765" s="56" t="s">
        <v>19</v>
      </c>
      <c r="I765" s="56" t="s">
        <v>19</v>
      </c>
      <c r="J765" s="56" t="s">
        <v>19</v>
      </c>
      <c r="K765" s="55" t="str">
        <f t="shared" si="48"/>
        <v>International</v>
      </c>
      <c r="M765" s="40"/>
    </row>
    <row r="766" hidden="1">
      <c r="A766" s="29"/>
      <c r="B766" s="53" t="str">
        <f>IFERROR(__xludf.DUMMYFUNCTION("""COMPUTED_VALUE"""),"          Ski Resort [GENEPIO:0100218]          ")</f>
        <v>          Ski Resort [GENEPIO:0100218]          </v>
      </c>
      <c r="C766" s="29" t="str">
        <f>IFERROR(__xludf.DUMMYFUNCTION("""COMPUTED_VALUE"""),"GENEPIO:0100218")</f>
        <v>GENEPIO:0100218</v>
      </c>
      <c r="D766" s="29" t="str">
        <f>IFERROR(__xludf.DUMMYFUNCTION("""COMPUTED_VALUE"""),"A process occuring within or in the vicinity of a ski resort that exposes the recipient organism to a material entity.")</f>
        <v>A process occuring within or in the vicinity of a ski resort that exposes the recipient organism to a material entity.</v>
      </c>
      <c r="E766" s="29"/>
      <c r="F766" s="29"/>
      <c r="G766" s="29"/>
      <c r="H766" s="56" t="s">
        <v>19</v>
      </c>
      <c r="I766" s="56" t="s">
        <v>19</v>
      </c>
      <c r="J766" s="56" t="s">
        <v>19</v>
      </c>
      <c r="K766" s="55" t="str">
        <f t="shared" si="48"/>
        <v>International</v>
      </c>
      <c r="M766" s="40"/>
    </row>
    <row r="767" hidden="1">
      <c r="A767" s="29"/>
      <c r="B767" s="53" t="str">
        <f>IFERROR(__xludf.DUMMYFUNCTION("""COMPUTED_VALUE"""),"     Petting zoo [ECTO:5000008]               ")</f>
        <v>     Petting zoo [ECTO:5000008]               </v>
      </c>
      <c r="C767" s="29" t="str">
        <f>IFERROR(__xludf.DUMMYFUNCTION("""COMPUTED_VALUE"""),"ECTO:5000008")</f>
        <v>ECTO:5000008</v>
      </c>
      <c r="D767" s="29" t="str">
        <f>IFERROR(__xludf.DUMMYFUNCTION("""COMPUTED_VALUE"""),"A exposure event involving the interaction of an exposure receptor to petting zoo.")</f>
        <v>A exposure event involving the interaction of an exposure receptor to petting zoo.</v>
      </c>
      <c r="E767" s="29"/>
      <c r="F767" s="29"/>
      <c r="G767" s="29"/>
      <c r="H767" s="56" t="s">
        <v>19</v>
      </c>
      <c r="I767" s="56" t="s">
        <v>19</v>
      </c>
      <c r="J767" s="56" t="s">
        <v>19</v>
      </c>
      <c r="K767" s="55" t="str">
        <f t="shared" si="48"/>
        <v>International</v>
      </c>
      <c r="M767" s="40"/>
    </row>
    <row r="768" hidden="1">
      <c r="A768" s="29"/>
      <c r="B768" s="53" t="str">
        <f>IFERROR(__xludf.DUMMYFUNCTION("""COMPUTED_VALUE"""),"     Place of Worship [GENEPIO:0100220]               ")</f>
        <v>     Place of Worship [GENEPIO:0100220]               </v>
      </c>
      <c r="C768" s="29" t="str">
        <f>IFERROR(__xludf.DUMMYFUNCTION("""COMPUTED_VALUE"""),"GENEPIO:0100220")</f>
        <v>GENEPIO:0100220</v>
      </c>
      <c r="D768" s="29" t="str">
        <f>IFERROR(__xludf.DUMMYFUNCTION("""COMPUTED_VALUE"""),"A process occuring within or in the vicinity of a place of worship that exposes the recipient organism to a material entity.")</f>
        <v>A process occuring within or in the vicinity of a place of worship that exposes the recipient organism to a material entity.</v>
      </c>
      <c r="E768" s="29"/>
      <c r="F768" s="29"/>
      <c r="G768" s="29"/>
      <c r="H768" s="56" t="s">
        <v>19</v>
      </c>
      <c r="I768" s="56" t="s">
        <v>19</v>
      </c>
      <c r="J768" s="56" t="s">
        <v>19</v>
      </c>
      <c r="K768" s="55" t="str">
        <f t="shared" si="48"/>
        <v>International</v>
      </c>
      <c r="M768" s="40"/>
    </row>
    <row r="769" hidden="1">
      <c r="A769" s="29"/>
      <c r="B769" s="53" t="str">
        <f>IFERROR(__xludf.DUMMYFUNCTION("""COMPUTED_VALUE"""),"          Church [GENEPIO:0100221]          ")</f>
        <v>          Church [GENEPIO:0100221]          </v>
      </c>
      <c r="C769" s="29" t="str">
        <f>IFERROR(__xludf.DUMMYFUNCTION("""COMPUTED_VALUE"""),"GENEPIO:0100221")</f>
        <v>GENEPIO:0100221</v>
      </c>
      <c r="D769" s="29" t="str">
        <f>IFERROR(__xludf.DUMMYFUNCTION("""COMPUTED_VALUE"""),"A process occuring within or in the vicinity of a church that exposes the recipient organism to a material entity.")</f>
        <v>A process occuring within or in the vicinity of a church that exposes the recipient organism to a material entity.</v>
      </c>
      <c r="E769" s="29"/>
      <c r="F769" s="29"/>
      <c r="G769" s="29"/>
      <c r="H769" s="56" t="s">
        <v>19</v>
      </c>
      <c r="I769" s="56" t="s">
        <v>19</v>
      </c>
      <c r="J769" s="56" t="s">
        <v>19</v>
      </c>
      <c r="K769" s="55" t="str">
        <f t="shared" si="48"/>
        <v>International</v>
      </c>
      <c r="M769" s="40"/>
    </row>
    <row r="770" hidden="1">
      <c r="A770" s="29"/>
      <c r="B770" s="53" t="str">
        <f>IFERROR(__xludf.DUMMYFUNCTION("""COMPUTED_VALUE"""),"          Mosque [GENEPIO:0100222]          ")</f>
        <v>          Mosque [GENEPIO:0100222]          </v>
      </c>
      <c r="C770" s="29" t="str">
        <f>IFERROR(__xludf.DUMMYFUNCTION("""COMPUTED_VALUE"""),"GENEPIO:0100222")</f>
        <v>GENEPIO:0100222</v>
      </c>
      <c r="D770" s="29" t="str">
        <f>IFERROR(__xludf.DUMMYFUNCTION("""COMPUTED_VALUE"""),"A process occuring within or in the vicinity of a mosque that exposes the recipient organism to a material entity.")</f>
        <v>A process occuring within or in the vicinity of a mosque that exposes the recipient organism to a material entity.</v>
      </c>
      <c r="E770" s="29"/>
      <c r="F770" s="29"/>
      <c r="G770" s="29"/>
      <c r="H770" s="56" t="s">
        <v>19</v>
      </c>
      <c r="I770" s="56" t="s">
        <v>19</v>
      </c>
      <c r="J770" s="56" t="s">
        <v>19</v>
      </c>
      <c r="K770" s="55" t="str">
        <f t="shared" si="48"/>
        <v>International</v>
      </c>
      <c r="M770" s="40"/>
    </row>
    <row r="771" hidden="1">
      <c r="A771" s="29"/>
      <c r="B771" s="53" t="str">
        <f>IFERROR(__xludf.DUMMYFUNCTION("""COMPUTED_VALUE"""),"          Temple [GENEPIO:0100223]          ")</f>
        <v>          Temple [GENEPIO:0100223]          </v>
      </c>
      <c r="C771" s="29" t="str">
        <f>IFERROR(__xludf.DUMMYFUNCTION("""COMPUTED_VALUE"""),"GENEPIO:0100223")</f>
        <v>GENEPIO:0100223</v>
      </c>
      <c r="D771" s="29" t="str">
        <f>IFERROR(__xludf.DUMMYFUNCTION("""COMPUTED_VALUE"""),"A process occuring within or in the vicinity of a temple that exposes the recipient organism to a material entity.")</f>
        <v>A process occuring within or in the vicinity of a temple that exposes the recipient organism to a material entity.</v>
      </c>
      <c r="E771" s="29"/>
      <c r="F771" s="29"/>
      <c r="G771" s="29"/>
      <c r="H771" s="56" t="s">
        <v>19</v>
      </c>
      <c r="I771" s="56" t="s">
        <v>19</v>
      </c>
      <c r="J771" s="56" t="s">
        <v>19</v>
      </c>
      <c r="K771" s="55" t="str">
        <f t="shared" si="48"/>
        <v>International</v>
      </c>
      <c r="M771" s="40"/>
    </row>
    <row r="772" hidden="1">
      <c r="A772" s="29"/>
      <c r="B772" s="53" t="str">
        <f>IFERROR(__xludf.DUMMYFUNCTION("""COMPUTED_VALUE"""),"     Restaurant [ECTO:1000040]               ")</f>
        <v>     Restaurant [ECTO:1000040]               </v>
      </c>
      <c r="C772" s="29" t="str">
        <f>IFERROR(__xludf.DUMMYFUNCTION("""COMPUTED_VALUE"""),"ECTO:1000040")</f>
        <v>ECTO:1000040</v>
      </c>
      <c r="D772" s="29" t="str">
        <f>IFERROR(__xludf.DUMMYFUNCTION("""COMPUTED_VALUE"""),"A exposure event involving the interaction of an exposure receptor to restaurant.")</f>
        <v>A exposure event involving the interaction of an exposure receptor to restaurant.</v>
      </c>
      <c r="E772" s="29"/>
      <c r="F772" s="29"/>
      <c r="G772" s="29"/>
      <c r="H772" s="56" t="s">
        <v>19</v>
      </c>
      <c r="I772" s="56" t="s">
        <v>19</v>
      </c>
      <c r="J772" s="56" t="s">
        <v>19</v>
      </c>
      <c r="K772" s="55" t="str">
        <f t="shared" si="48"/>
        <v>International</v>
      </c>
      <c r="M772" s="40"/>
    </row>
    <row r="773" hidden="1">
      <c r="A773" s="29"/>
      <c r="B773" s="53" t="str">
        <f>IFERROR(__xludf.DUMMYFUNCTION("""COMPUTED_VALUE"""),"     Retail Store [ECTO:1000041]               ")</f>
        <v>     Retail Store [ECTO:1000041]               </v>
      </c>
      <c r="C773" s="29" t="str">
        <f>IFERROR(__xludf.DUMMYFUNCTION("""COMPUTED_VALUE"""),"ECTO:1000041")</f>
        <v>ECTO:1000041</v>
      </c>
      <c r="D773" s="29" t="str">
        <f>IFERROR(__xludf.DUMMYFUNCTION("""COMPUTED_VALUE"""),"A exposure event involving the interaction of an exposure receptor to shop.")</f>
        <v>A exposure event involving the interaction of an exposure receptor to shop.</v>
      </c>
      <c r="E773" s="29"/>
      <c r="F773" s="29"/>
      <c r="G773" s="29"/>
      <c r="H773" s="56" t="s">
        <v>19</v>
      </c>
      <c r="I773" s="56" t="s">
        <v>19</v>
      </c>
      <c r="J773" s="56" t="s">
        <v>19</v>
      </c>
      <c r="K773" s="55" t="str">
        <f t="shared" si="48"/>
        <v>International</v>
      </c>
      <c r="M773" s="40"/>
    </row>
    <row r="774" hidden="1">
      <c r="A774" s="34"/>
      <c r="B774" s="53" t="str">
        <f>IFERROR(__xludf.DUMMYFUNCTION("""COMPUTED_VALUE"""),"     School [GENEPIO:0100224]               ")</f>
        <v>     School [GENEPIO:0100224]               </v>
      </c>
      <c r="C774" s="34" t="str">
        <f>IFERROR(__xludf.DUMMYFUNCTION("""COMPUTED_VALUE"""),"GENEPIO:0100224")</f>
        <v>GENEPIO:0100224</v>
      </c>
      <c r="D774" s="29" t="str">
        <f>IFERROR(__xludf.DUMMYFUNCTION("""COMPUTED_VALUE"""),"A process occuring within or in the vicinity of a school that exposes the recipient organism to a material entity.")</f>
        <v>A process occuring within or in the vicinity of a school that exposes the recipient organism to a material entity.</v>
      </c>
      <c r="K774" s="55" t="str">
        <f t="shared" si="48"/>
        <v>International</v>
      </c>
      <c r="M774" s="40"/>
    </row>
    <row r="775" hidden="1">
      <c r="A775" s="34"/>
      <c r="B775" s="53" t="str">
        <f>IFERROR(__xludf.DUMMYFUNCTION("""COMPUTED_VALUE"""),"     Temporary Residence [GENEPIO:0100225]               ")</f>
        <v>     Temporary Residence [GENEPIO:0100225]               </v>
      </c>
      <c r="C775" s="34" t="str">
        <f>IFERROR(__xludf.DUMMYFUNCTION("""COMPUTED_VALUE"""),"GENEPIO:0100225")</f>
        <v>GENEPIO:0100225</v>
      </c>
      <c r="D775" s="29" t="str">
        <f>IFERROR(__xludf.DUMMYFUNCTION("""COMPUTED_VALUE"""),"A process occuring within or in the vicinity of a temporary residence that exposes the recipient organism to a material entity.")</f>
        <v>A process occuring within or in the vicinity of a temporary residence that exposes the recipient organism to a material entity.</v>
      </c>
      <c r="H775" s="55" t="s">
        <v>19</v>
      </c>
      <c r="I775" s="55" t="s">
        <v>19</v>
      </c>
      <c r="J775" s="55" t="s">
        <v>19</v>
      </c>
      <c r="K775" s="55" t="str">
        <f t="shared" si="48"/>
        <v>International</v>
      </c>
      <c r="M775" s="40"/>
    </row>
    <row r="776" hidden="1">
      <c r="A776" s="34"/>
      <c r="B776" s="53" t="str">
        <f>IFERROR(__xludf.DUMMYFUNCTION("""COMPUTED_VALUE"""),"          Homeless Shelter [GENEPIO:0100226]          ")</f>
        <v>          Homeless Shelter [GENEPIO:0100226]          </v>
      </c>
      <c r="C776" s="34" t="str">
        <f>IFERROR(__xludf.DUMMYFUNCTION("""COMPUTED_VALUE"""),"GENEPIO:0100226")</f>
        <v>GENEPIO:0100226</v>
      </c>
      <c r="D776" s="29" t="str">
        <f>IFERROR(__xludf.DUMMYFUNCTION("""COMPUTED_VALUE"""),"A process occuring within or in the vicinity of a homeless shelter that exposes the recipient organism to a material entity.")</f>
        <v>A process occuring within or in the vicinity of a homeless shelter that exposes the recipient organism to a material entity.</v>
      </c>
      <c r="H776" s="55" t="s">
        <v>19</v>
      </c>
      <c r="I776" s="55" t="s">
        <v>19</v>
      </c>
      <c r="J776" s="55" t="s">
        <v>19</v>
      </c>
      <c r="K776" s="55" t="str">
        <f t="shared" si="48"/>
        <v>International</v>
      </c>
      <c r="M776" s="40"/>
    </row>
    <row r="777" hidden="1">
      <c r="A777" s="29"/>
      <c r="B777" s="53" t="str">
        <f>IFERROR(__xludf.DUMMYFUNCTION("""COMPUTED_VALUE"""),"          Hotel [GENEPIO:0100227]          ")</f>
        <v>          Hotel [GENEPIO:0100227]          </v>
      </c>
      <c r="C777" s="29" t="str">
        <f>IFERROR(__xludf.DUMMYFUNCTION("""COMPUTED_VALUE"""),"GENEPIO:0100227")</f>
        <v>GENEPIO:0100227</v>
      </c>
      <c r="D777" s="29" t="str">
        <f>IFERROR(__xludf.DUMMYFUNCTION("""COMPUTED_VALUE"""),"A process occuring within or in the vicinity of a hotel exposure that exposes the recipient organism to a material entity.")</f>
        <v>A process occuring within or in the vicinity of a hotel exposure that exposes the recipient organism to a material entity.</v>
      </c>
      <c r="E777" s="29"/>
      <c r="F777" s="29"/>
      <c r="G777" s="29"/>
      <c r="H777" s="29"/>
      <c r="I777" s="29"/>
      <c r="J777" s="29"/>
      <c r="K777" s="55" t="str">
        <f t="shared" si="48"/>
        <v>International</v>
      </c>
      <c r="M777" s="40"/>
    </row>
    <row r="778" hidden="1">
      <c r="A778" s="29"/>
      <c r="B778" s="53" t="str">
        <f>IFERROR(__xludf.DUMMYFUNCTION("""COMPUTED_VALUE"""),"     Veterinary Care Clinic [GENEPIO:0100228]               ")</f>
        <v>     Veterinary Care Clinic [GENEPIO:0100228]               </v>
      </c>
      <c r="C778" s="29" t="str">
        <f>IFERROR(__xludf.DUMMYFUNCTION("""COMPUTED_VALUE"""),"GENEPIO:0100228")</f>
        <v>GENEPIO:0100228</v>
      </c>
      <c r="D778" s="29" t="str">
        <f>IFERROR(__xludf.DUMMYFUNCTION("""COMPUTED_VALUE"""),"A process occuring within or in the vicinity of a veterinary facility that exposes the recipient organism to a material entity.")</f>
        <v>A process occuring within or in the vicinity of a veterinary facility that exposes the recipient organism to a material entity.</v>
      </c>
      <c r="E778" s="29"/>
      <c r="F778" s="29"/>
      <c r="G778" s="29"/>
      <c r="H778" s="56" t="s">
        <v>19</v>
      </c>
      <c r="I778" s="56" t="s">
        <v>19</v>
      </c>
      <c r="J778" s="56" t="s">
        <v>19</v>
      </c>
      <c r="K778" s="55" t="str">
        <f t="shared" si="48"/>
        <v>International</v>
      </c>
      <c r="M778" s="40"/>
    </row>
    <row r="779" hidden="1">
      <c r="A779" s="29"/>
      <c r="B779" s="53" t="str">
        <f>IFERROR(__xludf.DUMMYFUNCTION("""COMPUTED_VALUE"""),"Travel Exposure [GENEPIO:0100229]                    ")</f>
        <v>Travel Exposure [GENEPIO:0100229]                    </v>
      </c>
      <c r="C779" s="29" t="str">
        <f>IFERROR(__xludf.DUMMYFUNCTION("""COMPUTED_VALUE"""),"GENEPIO:0100229")</f>
        <v>GENEPIO:0100229</v>
      </c>
      <c r="D779" s="29" t="str">
        <f>IFERROR(__xludf.DUMMYFUNCTION("""COMPUTED_VALUE"""),"A process occuring as a result of travel that exposes the recipient organism to a material entity.")</f>
        <v>A process occuring as a result of travel that exposes the recipient organism to a material entity.</v>
      </c>
      <c r="E779" s="29"/>
      <c r="F779" s="29"/>
      <c r="G779" s="29"/>
      <c r="H779" s="56" t="s">
        <v>19</v>
      </c>
      <c r="I779" s="56" t="s">
        <v>19</v>
      </c>
      <c r="J779" s="56" t="s">
        <v>19</v>
      </c>
      <c r="K779" s="55" t="str">
        <f t="shared" si="48"/>
        <v>International</v>
      </c>
      <c r="M779" s="40"/>
    </row>
    <row r="780" hidden="1">
      <c r="A780" s="34"/>
      <c r="B780" s="53" t="str">
        <f>IFERROR(__xludf.DUMMYFUNCTION("""COMPUTED_VALUE"""),"     Travelled on a Cruise Ship [GENEPIO:0100230]               ")</f>
        <v>     Travelled on a Cruise Ship [GENEPIO:0100230]               </v>
      </c>
      <c r="C780" s="34" t="str">
        <f>IFERROR(__xludf.DUMMYFUNCTION("""COMPUTED_VALUE"""),"GENEPIO:0100230")</f>
        <v>GENEPIO:0100230</v>
      </c>
      <c r="D780" s="29" t="str">
        <f>IFERROR(__xludf.DUMMYFUNCTION("""COMPUTED_VALUE"""),"A process occuring within or in the vicinity of a cruise ship that exposes the recipient organism to a material entity.")</f>
        <v>A process occuring within or in the vicinity of a cruise ship that exposes the recipient organism to a material entity.</v>
      </c>
      <c r="K780" s="55" t="str">
        <f t="shared" si="48"/>
        <v>International</v>
      </c>
      <c r="M780" s="40"/>
    </row>
    <row r="781" hidden="1">
      <c r="A781" s="34"/>
      <c r="B781" s="53" t="str">
        <f>IFERROR(__xludf.DUMMYFUNCTION("""COMPUTED_VALUE"""),"     Travelled on a Plane [GENEPIO:0100231]               ")</f>
        <v>     Travelled on a Plane [GENEPIO:0100231]               </v>
      </c>
      <c r="C781" s="34" t="str">
        <f>IFERROR(__xludf.DUMMYFUNCTION("""COMPUTED_VALUE"""),"GENEPIO:0100231")</f>
        <v>GENEPIO:0100231</v>
      </c>
      <c r="D781" s="29" t="str">
        <f>IFERROR(__xludf.DUMMYFUNCTION("""COMPUTED_VALUE"""),"A process occuring within or in the vicinity of an airplane that exposes the recipient organism to a material entity.")</f>
        <v>A process occuring within or in the vicinity of an airplane that exposes the recipient organism to a material entity.</v>
      </c>
      <c r="H781" s="55" t="s">
        <v>19</v>
      </c>
      <c r="I781" s="55" t="s">
        <v>19</v>
      </c>
      <c r="J781" s="55" t="s">
        <v>19</v>
      </c>
      <c r="K781" s="55" t="str">
        <f t="shared" si="48"/>
        <v>International</v>
      </c>
      <c r="M781" s="40"/>
    </row>
    <row r="782" hidden="1">
      <c r="A782" s="34"/>
      <c r="B782" s="53" t="str">
        <f>IFERROR(__xludf.DUMMYFUNCTION("""COMPUTED_VALUE"""),"     Travelled on Ground Transport [GENEPIO:0100232]               ")</f>
        <v>     Travelled on Ground Transport [GENEPIO:0100232]               </v>
      </c>
      <c r="C782" s="34" t="str">
        <f>IFERROR(__xludf.DUMMYFUNCTION("""COMPUTED_VALUE"""),"GENEPIO:0100232")</f>
        <v>GENEPIO:0100232</v>
      </c>
      <c r="D782" s="29" t="str">
        <f>IFERROR(__xludf.DUMMYFUNCTION("""COMPUTED_VALUE"""),"A process occuring within or in the vicinity of ground transport that exposes the recipient organism to a material entity.")</f>
        <v>A process occuring within or in the vicinity of ground transport that exposes the recipient organism to a material entity.</v>
      </c>
      <c r="H782" s="55" t="s">
        <v>19</v>
      </c>
      <c r="I782" s="55" t="s">
        <v>19</v>
      </c>
      <c r="J782" s="55" t="s">
        <v>19</v>
      </c>
      <c r="K782" s="55" t="str">
        <f t="shared" si="48"/>
        <v>International</v>
      </c>
      <c r="M782" s="40"/>
    </row>
    <row r="783" hidden="1">
      <c r="A783" s="29"/>
      <c r="B783" s="53" t="str">
        <f>IFERROR(__xludf.DUMMYFUNCTION("""COMPUTED_VALUE"""),"Other Exposure Setting [GENEPIO:0100235]                    ")</f>
        <v>Other Exposure Setting [GENEPIO:0100235]                    </v>
      </c>
      <c r="C783" s="29" t="str">
        <f>IFERROR(__xludf.DUMMYFUNCTION("""COMPUTED_VALUE"""),"GENEPIO:0100235")</f>
        <v>GENEPIO:0100235</v>
      </c>
      <c r="D783" s="29" t="str">
        <f>IFERROR(__xludf.DUMMYFUNCTION("""COMPUTED_VALUE"""),"A process occuring that exposes the recipient organism to a material entity.")</f>
        <v>A process occuring that exposes the recipient organism to a material entity.</v>
      </c>
      <c r="E783" s="29"/>
      <c r="F783" s="29"/>
      <c r="G783" s="29"/>
      <c r="H783" s="29"/>
      <c r="I783" s="29"/>
      <c r="J783" s="29"/>
      <c r="K783" s="55" t="str">
        <f t="shared" si="48"/>
        <v>International</v>
      </c>
      <c r="M783" s="40"/>
    </row>
    <row r="784">
      <c r="A784" s="29" t="str">
        <f>IFERROR(__xludf.DUMMYFUNCTION("""COMPUTED_VALUE"""),"prior Mpox infection menu")</f>
        <v>prior Mpox infection menu</v>
      </c>
      <c r="B784" s="53" t="str">
        <f>IFERROR(__xludf.DUMMYFUNCTION("""COMPUTED_VALUE"""),"                    ")</f>
        <v>                    </v>
      </c>
      <c r="C784" s="29"/>
      <c r="D784" s="29" t="str">
        <f>IFERROR(__xludf.DUMMYFUNCTION("""COMPUTED_VALUE"""),"")</f>
        <v/>
      </c>
      <c r="E784" s="29"/>
      <c r="F784" s="29"/>
      <c r="G784" s="29"/>
      <c r="H784" s="56"/>
      <c r="I784" s="56"/>
      <c r="J784" s="56"/>
      <c r="K784" s="35" t="s">
        <v>29</v>
      </c>
      <c r="L784" s="34" t="str">
        <f>LEFT(A784, LEN(A784) - 5)
</f>
        <v>prior Mpox infection</v>
      </c>
      <c r="M784" s="34" t="str">
        <f>VLOOKUP(L784,'Field Reference Guide'!$B$6:$N$220,13,false)</f>
        <v>Mpox</v>
      </c>
    </row>
    <row r="785">
      <c r="A785" s="29"/>
      <c r="B785" s="53" t="str">
        <f>IFERROR(__xludf.DUMMYFUNCTION("""COMPUTED_VALUE"""),"Prior infection                    ")</f>
        <v>Prior infection                    </v>
      </c>
      <c r="C785" s="29" t="str">
        <f>IFERROR(__xludf.DUMMYFUNCTION("""COMPUTED_VALUE"""),"GENEPIO:0100037")</f>
        <v>GENEPIO:0100037</v>
      </c>
      <c r="D785" s="29" t="str">
        <f>IFERROR(__xludf.DUMMYFUNCTION("""COMPUTED_VALUE"""),"Antiviral treatment administered prior to the current regimen or test. ")</f>
        <v>Antiviral treatment administered prior to the current regimen or test. </v>
      </c>
      <c r="E785" s="29"/>
      <c r="F785" s="29"/>
      <c r="G785" s="29"/>
      <c r="H785" s="56" t="s">
        <v>19</v>
      </c>
      <c r="I785" s="56" t="s">
        <v>19</v>
      </c>
      <c r="J785" s="56" t="s">
        <v>19</v>
      </c>
      <c r="K785" s="55" t="str">
        <f t="shared" ref="K785:K786" si="49">K784</f>
        <v>MPox</v>
      </c>
      <c r="M785" s="57" t="s">
        <v>29</v>
      </c>
    </row>
    <row r="786">
      <c r="A786" s="34"/>
      <c r="B786" s="53" t="str">
        <f>IFERROR(__xludf.DUMMYFUNCTION("""COMPUTED_VALUE"""),"No prior infection                    ")</f>
        <v>No prior infection                    </v>
      </c>
      <c r="C786" s="34" t="str">
        <f>IFERROR(__xludf.DUMMYFUNCTION("""COMPUTED_VALUE"""),"GENEPIO:0100233")</f>
        <v>GENEPIO:0100233</v>
      </c>
      <c r="D786" s="29" t="str">
        <f>IFERROR(__xludf.DUMMYFUNCTION("""COMPUTED_VALUE"""),"An absence of antiviral treatment administered prior to the current regimen or test.")</f>
        <v>An absence of antiviral treatment administered prior to the current regimen or test.</v>
      </c>
      <c r="K786" s="55" t="str">
        <f t="shared" si="49"/>
        <v>MPox</v>
      </c>
      <c r="M786" s="40"/>
    </row>
    <row r="787" hidden="1">
      <c r="A787" s="34" t="str">
        <f>IFERROR(__xludf.DUMMYFUNCTION("""COMPUTED_VALUE"""),"prior Mpox infection international menu")</f>
        <v>prior Mpox infection international menu</v>
      </c>
      <c r="B787" s="53" t="str">
        <f>IFERROR(__xludf.DUMMYFUNCTION("""COMPUTED_VALUE"""),"                    ")</f>
        <v>                    </v>
      </c>
      <c r="C787" s="34"/>
      <c r="D787" s="29" t="str">
        <f>IFERROR(__xludf.DUMMYFUNCTION("""COMPUTED_VALUE"""),"")</f>
        <v/>
      </c>
      <c r="E787" s="34"/>
      <c r="F787" s="34"/>
      <c r="G787" s="34"/>
      <c r="H787" s="55"/>
      <c r="I787" s="55"/>
      <c r="J787" s="55"/>
      <c r="K787" s="59" t="s">
        <v>27</v>
      </c>
      <c r="L787" s="34" t="str">
        <f>LEFT(A787, LEN(A787) - 5)
</f>
        <v>prior Mpox infection international</v>
      </c>
      <c r="M787" s="34" t="str">
        <f>VLOOKUP(L787,'Field Reference Guide'!$B$6:$N$220,13,false)</f>
        <v>#N/A</v>
      </c>
    </row>
    <row r="788" hidden="1">
      <c r="A788" s="29"/>
      <c r="B788" s="53" t="str">
        <f>IFERROR(__xludf.DUMMYFUNCTION("""COMPUTED_VALUE"""),"Prior infection [GENEPIO:0100037]                    ")</f>
        <v>Prior infection [GENEPIO:0100037]                    </v>
      </c>
      <c r="C788" s="29" t="str">
        <f>IFERROR(__xludf.DUMMYFUNCTION("""COMPUTED_VALUE"""),"GENEPIO:0100037")</f>
        <v>GENEPIO:0100037</v>
      </c>
      <c r="D788" s="29" t="str">
        <f>IFERROR(__xludf.DUMMYFUNCTION("""COMPUTED_VALUE"""),"Antiviral treatment administered prior to the current regimen or test. ")</f>
        <v>Antiviral treatment administered prior to the current regimen or test. </v>
      </c>
      <c r="E788" s="29"/>
      <c r="F788" s="29"/>
      <c r="G788" s="29"/>
      <c r="H788" s="29"/>
      <c r="I788" s="29"/>
      <c r="J788" s="29"/>
      <c r="K788" s="55" t="str">
        <f t="shared" ref="K788:K789" si="50">K787</f>
        <v>International</v>
      </c>
      <c r="M788" s="57" t="s">
        <v>28</v>
      </c>
    </row>
    <row r="789" hidden="1">
      <c r="A789" s="29"/>
      <c r="B789" s="53" t="str">
        <f>IFERROR(__xludf.DUMMYFUNCTION("""COMPUTED_VALUE"""),"No prior infection [GENEPIO:0100233]                    ")</f>
        <v>No prior infection [GENEPIO:0100233]                    </v>
      </c>
      <c r="C789" s="29" t="str">
        <f>IFERROR(__xludf.DUMMYFUNCTION("""COMPUTED_VALUE"""),"GENEPIO:0100233")</f>
        <v>GENEPIO:0100233</v>
      </c>
      <c r="D789" s="29" t="str">
        <f>IFERROR(__xludf.DUMMYFUNCTION("""COMPUTED_VALUE"""),"An absence of antiviral treatment administered prior to the current regimen or test.")</f>
        <v>An absence of antiviral treatment administered prior to the current regimen or test.</v>
      </c>
      <c r="E789" s="29"/>
      <c r="F789" s="29"/>
      <c r="G789" s="29"/>
      <c r="H789" s="56" t="s">
        <v>19</v>
      </c>
      <c r="I789" s="56" t="s">
        <v>19</v>
      </c>
      <c r="J789" s="56" t="s">
        <v>19</v>
      </c>
      <c r="K789" s="55" t="str">
        <f t="shared" si="50"/>
        <v>International</v>
      </c>
      <c r="M789" s="40"/>
    </row>
    <row r="790">
      <c r="A790" s="34" t="str">
        <f>IFERROR(__xludf.DUMMYFUNCTION("""COMPUTED_VALUE"""),"prior Mpox antiviral treatment menu")</f>
        <v>prior Mpox antiviral treatment menu</v>
      </c>
      <c r="B790" s="53" t="str">
        <f>IFERROR(__xludf.DUMMYFUNCTION("""COMPUTED_VALUE"""),"                    ")</f>
        <v>                    </v>
      </c>
      <c r="C790" s="34"/>
      <c r="D790" s="29" t="str">
        <f>IFERROR(__xludf.DUMMYFUNCTION("""COMPUTED_VALUE"""),"")</f>
        <v/>
      </c>
      <c r="E790" s="34"/>
      <c r="F790" s="34"/>
      <c r="G790" s="34"/>
      <c r="H790" s="34"/>
      <c r="I790" s="34"/>
      <c r="J790" s="34"/>
      <c r="K790" s="34" t="str">
        <f>VLOOKUP(L790,'Field Reference Guide'!$B$7:$N$207,13,false)</f>
        <v>Mpox</v>
      </c>
      <c r="L790" s="34" t="str">
        <f>LEFT(A790, LEN(A790) - 5)
</f>
        <v>prior Mpox antiviral treatment</v>
      </c>
      <c r="M790" s="34" t="str">
        <f>VLOOKUP(L790,'Field Reference Guide'!$B$6:$N$220,13,false)</f>
        <v>Mpox</v>
      </c>
    </row>
    <row r="791">
      <c r="A791" s="34"/>
      <c r="B791" s="53" t="str">
        <f>IFERROR(__xludf.DUMMYFUNCTION("""COMPUTED_VALUE"""),"Prior antiviral treatment                    ")</f>
        <v>Prior antiviral treatment                    </v>
      </c>
      <c r="C791" s="34" t="str">
        <f>IFERROR(__xludf.DUMMYFUNCTION("""COMPUTED_VALUE"""),"GENEPIO:0100037")</f>
        <v>GENEPIO:0100037</v>
      </c>
      <c r="D791" s="29" t="str">
        <f>IFERROR(__xludf.DUMMYFUNCTION("""COMPUTED_VALUE"""),"Antiviral treatment administered prior to the current regimen or test. ")</f>
        <v>Antiviral treatment administered prior to the current regimen or test. </v>
      </c>
      <c r="H791" s="55" t="s">
        <v>19</v>
      </c>
      <c r="I791" s="55" t="s">
        <v>19</v>
      </c>
      <c r="J791" s="55" t="s">
        <v>19</v>
      </c>
      <c r="K791" s="55" t="str">
        <f t="shared" ref="K791:K792" si="51">K790</f>
        <v>Mpox</v>
      </c>
      <c r="M791" s="57" t="s">
        <v>29</v>
      </c>
    </row>
    <row r="792">
      <c r="A792" s="29"/>
      <c r="B792" s="53" t="str">
        <f>IFERROR(__xludf.DUMMYFUNCTION("""COMPUTED_VALUE"""),"No prior antiviral treatment                    ")</f>
        <v>No prior antiviral treatment                    </v>
      </c>
      <c r="C792" s="29" t="str">
        <f>IFERROR(__xludf.DUMMYFUNCTION("""COMPUTED_VALUE"""),"GENEPIO:0100233")</f>
        <v>GENEPIO:0100233</v>
      </c>
      <c r="D792" s="29" t="str">
        <f>IFERROR(__xludf.DUMMYFUNCTION("""COMPUTED_VALUE"""),"An absence of antiviral treatment administered prior to the current regimen or test.")</f>
        <v>An absence of antiviral treatment administered prior to the current regimen or test.</v>
      </c>
      <c r="E792" s="29"/>
      <c r="F792" s="29"/>
      <c r="G792" s="29"/>
      <c r="H792" s="29"/>
      <c r="I792" s="29"/>
      <c r="J792" s="29"/>
      <c r="K792" s="55" t="str">
        <f t="shared" si="51"/>
        <v>Mpox</v>
      </c>
      <c r="M792" s="40"/>
    </row>
    <row r="793" hidden="1">
      <c r="A793" s="29" t="str">
        <f>IFERROR(__xludf.DUMMYFUNCTION("""COMPUTED_VALUE"""),"prior Mpox antiviral treatment international menu")</f>
        <v>prior Mpox antiviral treatment international menu</v>
      </c>
      <c r="B793" s="53" t="str">
        <f>IFERROR(__xludf.DUMMYFUNCTION("""COMPUTED_VALUE"""),"                    ")</f>
        <v>                    </v>
      </c>
      <c r="C793" s="29"/>
      <c r="D793" s="29" t="str">
        <f>IFERROR(__xludf.DUMMYFUNCTION("""COMPUTED_VALUE"""),"")</f>
        <v/>
      </c>
      <c r="E793" s="29"/>
      <c r="F793" s="29"/>
      <c r="G793" s="29"/>
      <c r="H793" s="56"/>
      <c r="I793" s="56"/>
      <c r="J793" s="56"/>
      <c r="K793" s="59" t="s">
        <v>27</v>
      </c>
      <c r="L793" s="34" t="str">
        <f>LEFT(A793, LEN(A793) - 5)
</f>
        <v>prior Mpox antiviral treatment international</v>
      </c>
      <c r="M793" s="34" t="str">
        <f>VLOOKUP(L793,'Field Reference Guide'!$B$6:$N$220,13,false)</f>
        <v>#N/A</v>
      </c>
    </row>
    <row r="794" hidden="1">
      <c r="A794" s="29"/>
      <c r="B794" s="53" t="str">
        <f>IFERROR(__xludf.DUMMYFUNCTION("""COMPUTED_VALUE"""),"Prior antiviral treatment [GENEPIO:0100037]                    ")</f>
        <v>Prior antiviral treatment [GENEPIO:0100037]                    </v>
      </c>
      <c r="C794" s="29" t="str">
        <f>IFERROR(__xludf.DUMMYFUNCTION("""COMPUTED_VALUE"""),"GENEPIO:0100037")</f>
        <v>GENEPIO:0100037</v>
      </c>
      <c r="D794" s="29" t="str">
        <f>IFERROR(__xludf.DUMMYFUNCTION("""COMPUTED_VALUE"""),"Antiviral treatment administered prior to the current regimen or test. ")</f>
        <v>Antiviral treatment administered prior to the current regimen or test. </v>
      </c>
      <c r="E794" s="29"/>
      <c r="F794" s="29"/>
      <c r="G794" s="29"/>
      <c r="H794" s="29"/>
      <c r="I794" s="29"/>
      <c r="J794" s="29"/>
      <c r="K794" s="55" t="str">
        <f t="shared" ref="K794:K795" si="52">K793</f>
        <v>International</v>
      </c>
      <c r="M794" s="57" t="s">
        <v>28</v>
      </c>
    </row>
    <row r="795" hidden="1">
      <c r="A795" s="34"/>
      <c r="B795" s="53" t="str">
        <f>IFERROR(__xludf.DUMMYFUNCTION("""COMPUTED_VALUE"""),"No prior antiviral treatment [GENEPIO:0100233]                    ")</f>
        <v>No prior antiviral treatment [GENEPIO:0100233]                    </v>
      </c>
      <c r="C795" s="34" t="str">
        <f>IFERROR(__xludf.DUMMYFUNCTION("""COMPUTED_VALUE"""),"GENEPIO:0100233")</f>
        <v>GENEPIO:0100233</v>
      </c>
      <c r="D795" s="29" t="str">
        <f>IFERROR(__xludf.DUMMYFUNCTION("""COMPUTED_VALUE"""),"An absence of antiviral treatment administered prior to the current regimen or test.")</f>
        <v>An absence of antiviral treatment administered prior to the current regimen or test.</v>
      </c>
      <c r="K795" s="55" t="str">
        <f t="shared" si="52"/>
        <v>International</v>
      </c>
      <c r="M795" s="40"/>
    </row>
    <row r="796">
      <c r="A796" s="34" t="str">
        <f>IFERROR(__xludf.DUMMYFUNCTION("""COMPUTED_VALUE"""),"organism menu")</f>
        <v>organism menu</v>
      </c>
      <c r="B796" s="53" t="str">
        <f>IFERROR(__xludf.DUMMYFUNCTION("""COMPUTED_VALUE"""),"                    ")</f>
        <v>                    </v>
      </c>
      <c r="C796" s="34"/>
      <c r="D796" s="29" t="str">
        <f>IFERROR(__xludf.DUMMYFUNCTION("""COMPUTED_VALUE"""),"")</f>
        <v/>
      </c>
      <c r="E796" s="34"/>
      <c r="F796" s="34"/>
      <c r="G796" s="34"/>
      <c r="H796" s="55"/>
      <c r="I796" s="55"/>
      <c r="J796" s="55"/>
      <c r="K796" s="55" t="s">
        <v>26</v>
      </c>
      <c r="L796" s="34" t="str">
        <f>LEFT(A796, LEN(A796) - 5)
</f>
        <v>organism</v>
      </c>
      <c r="M796" s="34" t="str">
        <f>VLOOKUP(L796,'Field Reference Guide'!$B$6:$N$220,13,false)</f>
        <v>Mpox</v>
      </c>
    </row>
    <row r="797">
      <c r="A797" s="34"/>
      <c r="B797" s="53" t="str">
        <f>IFERROR(__xludf.DUMMYFUNCTION("""COMPUTED_VALUE"""),"Mpox virus                    ")</f>
        <v>Mpox virus                    </v>
      </c>
      <c r="C797" s="34" t="str">
        <f>IFERROR(__xludf.DUMMYFUNCTION("""COMPUTED_VALUE"""),"NCBITaxon:10244")</f>
        <v>NCBITaxon:10244</v>
      </c>
      <c r="D797"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797" s="55" t="s">
        <v>19</v>
      </c>
      <c r="I797" s="55" t="s">
        <v>19</v>
      </c>
      <c r="J797" s="55" t="s">
        <v>19</v>
      </c>
      <c r="K797" s="55" t="str">
        <f>K796</f>
        <v>Mpox</v>
      </c>
      <c r="M797" s="57" t="s">
        <v>26</v>
      </c>
    </row>
    <row r="798" hidden="1">
      <c r="A798" s="34" t="str">
        <f>IFERROR(__xludf.DUMMYFUNCTION("""COMPUTED_VALUE"""),"organism international menu")</f>
        <v>organism international menu</v>
      </c>
      <c r="B798" s="53" t="str">
        <f>IFERROR(__xludf.DUMMYFUNCTION("""COMPUTED_VALUE"""),"                    ")</f>
        <v>                    </v>
      </c>
      <c r="C798" s="34"/>
      <c r="D798" s="29" t="str">
        <f>IFERROR(__xludf.DUMMYFUNCTION("""COMPUTED_VALUE"""),"")</f>
        <v/>
      </c>
      <c r="E798" s="34"/>
      <c r="F798" s="34"/>
      <c r="G798" s="34"/>
      <c r="H798" s="55"/>
      <c r="I798" s="55"/>
      <c r="J798" s="55"/>
      <c r="K798" s="59" t="s">
        <v>27</v>
      </c>
      <c r="L798" s="34" t="str">
        <f>LEFT(A798, LEN(A798) - 5)
</f>
        <v>organism international</v>
      </c>
      <c r="M798" s="34" t="str">
        <f>VLOOKUP(L798,'Field Reference Guide'!$B$6:$N$220,13,false)</f>
        <v>#N/A</v>
      </c>
    </row>
    <row r="799" hidden="1">
      <c r="A799" s="34"/>
      <c r="B799" s="53" t="str">
        <f>IFERROR(__xludf.DUMMYFUNCTION("""COMPUTED_VALUE"""),"Mpox virus [NCBITaxon:10244]                    ")</f>
        <v>Mpox virus [NCBITaxon:10244]                    </v>
      </c>
      <c r="C799" s="34" t="str">
        <f>IFERROR(__xludf.DUMMYFUNCTION("""COMPUTED_VALUE"""),"NCBITaxon:10244")</f>
        <v>NCBITaxon:10244</v>
      </c>
      <c r="D799" s="29" t="str">
        <f>IFERROR(__xludf.DUMMYFUNCTION("""COMPUTED_VALUE"""),"A zoonotic virus belonging to the Orthopoxvirus genus and closely related to the variola, cowpox, and vaccinia viruses. MPV is oval, with a lipoprotein outer membrane. ")</f>
        <v>A zoonotic virus belonging to the Orthopoxvirus genus and closely related to the variola, cowpox, and vaccinia viruses. MPV is oval, with a lipoprotein outer membrane. </v>
      </c>
      <c r="H799" s="55" t="s">
        <v>19</v>
      </c>
      <c r="I799" s="55" t="s">
        <v>19</v>
      </c>
      <c r="J799" s="55" t="s">
        <v>19</v>
      </c>
      <c r="K799" s="55" t="str">
        <f>K798</f>
        <v>International</v>
      </c>
      <c r="M799" s="57" t="s">
        <v>28</v>
      </c>
    </row>
    <row r="800">
      <c r="A800" s="29" t="str">
        <f>IFERROR(__xludf.DUMMYFUNCTION("""COMPUTED_VALUE"""),"host disease menu")</f>
        <v>host disease menu</v>
      </c>
      <c r="B800" s="53" t="str">
        <f>IFERROR(__xludf.DUMMYFUNCTION("""COMPUTED_VALUE"""),"                    ")</f>
        <v>                    </v>
      </c>
      <c r="C800" s="29"/>
      <c r="D800" s="29" t="str">
        <f>IFERROR(__xludf.DUMMYFUNCTION("""COMPUTED_VALUE"""),"")</f>
        <v/>
      </c>
      <c r="E800" s="29"/>
      <c r="F800" s="29"/>
      <c r="G800" s="29"/>
      <c r="H800" s="29"/>
      <c r="I800" s="29"/>
      <c r="J800" s="29"/>
      <c r="K800" s="35" t="s">
        <v>29</v>
      </c>
      <c r="L800" s="34" t="str">
        <f>LEFT(A800, LEN(A800) - 5)
</f>
        <v>host disease</v>
      </c>
      <c r="M800" s="34" t="str">
        <f>VLOOKUP(L800,'Field Reference Guide'!$B$6:$N$220,13,false)</f>
        <v>Mpox</v>
      </c>
    </row>
    <row r="801">
      <c r="A801" s="29"/>
      <c r="B801" s="53" t="str">
        <f>IFERROR(__xludf.DUMMYFUNCTION("""COMPUTED_VALUE"""),"Mpox                    ")</f>
        <v>Mpox                    </v>
      </c>
      <c r="C801" s="29" t="str">
        <f>IFERROR(__xludf.DUMMYFUNCTION("""COMPUTED_VALUE"""),"MONDO:0002594")</f>
        <v>MONDO:0002594</v>
      </c>
      <c r="D801"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E801" s="29"/>
      <c r="F801" s="29"/>
      <c r="G801" s="29"/>
      <c r="H801" s="56" t="s">
        <v>19</v>
      </c>
      <c r="I801" s="56" t="s">
        <v>19</v>
      </c>
      <c r="J801" s="56" t="s">
        <v>19</v>
      </c>
      <c r="K801" s="55" t="str">
        <f>K800</f>
        <v>MPox</v>
      </c>
      <c r="M801" s="57" t="s">
        <v>26</v>
      </c>
    </row>
    <row r="802" hidden="1">
      <c r="A802" s="29" t="str">
        <f>IFERROR(__xludf.DUMMYFUNCTION("""COMPUTED_VALUE"""),"host disease international menu")</f>
        <v>host disease international menu</v>
      </c>
      <c r="B802" s="53" t="str">
        <f>IFERROR(__xludf.DUMMYFUNCTION("""COMPUTED_VALUE"""),"                    ")</f>
        <v>                    </v>
      </c>
      <c r="C802" s="29"/>
      <c r="D802" s="29" t="str">
        <f>IFERROR(__xludf.DUMMYFUNCTION("""COMPUTED_VALUE"""),"")</f>
        <v/>
      </c>
      <c r="E802" s="29"/>
      <c r="F802" s="29"/>
      <c r="G802" s="29"/>
      <c r="H802" s="56"/>
      <c r="I802" s="56"/>
      <c r="J802" s="56"/>
      <c r="K802" s="59" t="s">
        <v>27</v>
      </c>
      <c r="L802" s="34" t="str">
        <f>LEFT(A802, LEN(A802) - 5)
</f>
        <v>host disease international</v>
      </c>
      <c r="M802" s="34" t="str">
        <f>VLOOKUP(L802,'Field Reference Guide'!$B$6:$N$220,13,false)</f>
        <v>#N/A</v>
      </c>
    </row>
    <row r="803" hidden="1">
      <c r="A803" s="29"/>
      <c r="B803" s="53" t="str">
        <f>IFERROR(__xludf.DUMMYFUNCTION("""COMPUTED_VALUE"""),"Mpox [MONDO:0002594]                    ")</f>
        <v>Mpox [MONDO:0002594]                    </v>
      </c>
      <c r="C803" s="29" t="str">
        <f>IFERROR(__xludf.DUMMYFUNCTION("""COMPUTED_VALUE"""),"MONDO:0002594")</f>
        <v>MONDO:0002594</v>
      </c>
      <c r="D803" s="29" t="str">
        <f>IFERROR(__xludf.DUMMYFUNCTION("""COMPUTED_VALUE"""),"An infection that is caused by an Orthopoxvirus, which is transmitted by primates or rodents, and which is characterized by a prodromal syndrome of fever, chills, headache, myalgia, and lymphedema; initial symptoms are followed by a generalized papular ra"&amp;"sh that typically progresses from vesiculation through crusting over the course of two weeks.")</f>
        <v>An infection that is caused by an Orthopoxvirus, which is transmitted by primates or rodents, and which is characterized by a prodromal syndrome of fever, chills, headache, myalgia, and lymphedema; initial symptoms are followed by a generalized papular rash that typically progresses from vesiculation through crusting over the course of two weeks.</v>
      </c>
      <c r="E803" s="29"/>
      <c r="F803" s="29"/>
      <c r="G803" s="29"/>
      <c r="H803" s="56" t="s">
        <v>19</v>
      </c>
      <c r="I803" s="56" t="s">
        <v>19</v>
      </c>
      <c r="J803" s="56" t="s">
        <v>19</v>
      </c>
      <c r="K803" s="55" t="str">
        <f t="shared" ref="K803:K804" si="53">K802</f>
        <v>International</v>
      </c>
      <c r="M803" s="57" t="s">
        <v>28</v>
      </c>
    </row>
    <row r="804" hidden="1">
      <c r="A804" s="29"/>
      <c r="B804" s="53" t="str">
        <f>IFERROR(__xludf.DUMMYFUNCTION("""COMPUTED_VALUE"""),"                    ")</f>
        <v>                    </v>
      </c>
      <c r="C804" s="29"/>
      <c r="D804" s="29" t="str">
        <f>IFERROR(__xludf.DUMMYFUNCTION("""COMPUTED_VALUE"""),"")</f>
        <v/>
      </c>
      <c r="E804" s="29"/>
      <c r="F804" s="29"/>
      <c r="G804" s="29"/>
      <c r="H804" s="56" t="s">
        <v>19</v>
      </c>
      <c r="I804" s="56" t="s">
        <v>19</v>
      </c>
      <c r="J804" s="56" t="s">
        <v>19</v>
      </c>
      <c r="K804" s="55" t="str">
        <f t="shared" si="53"/>
        <v>International</v>
      </c>
      <c r="M804" s="58"/>
    </row>
    <row r="805">
      <c r="A805" s="34" t="str">
        <f>IFERROR(__xludf.DUMMYFUNCTION("""COMPUTED_VALUE"""),"purpose of sampling menu")</f>
        <v>purpose of sampling menu</v>
      </c>
      <c r="B805" s="53" t="str">
        <f>IFERROR(__xludf.DUMMYFUNCTION("""COMPUTED_VALUE"""),"                    ")</f>
        <v>                    </v>
      </c>
      <c r="C805" s="34"/>
      <c r="D805" s="29" t="str">
        <f>IFERROR(__xludf.DUMMYFUNCTION("""COMPUTED_VALUE"""),"")</f>
        <v/>
      </c>
      <c r="E805" s="34"/>
      <c r="F805" s="34"/>
      <c r="G805" s="34"/>
      <c r="H805" s="34"/>
      <c r="I805" s="34"/>
      <c r="J805" s="34"/>
      <c r="K805" s="34" t="str">
        <f>VLOOKUP(L805,'Field Reference Guide'!$B$7:$N$207,13,false)</f>
        <v>Mpox</v>
      </c>
      <c r="L805" s="34" t="str">
        <f>LEFT(A805, LEN(A805) - 5)
</f>
        <v>purpose of sampling</v>
      </c>
      <c r="M805" s="34" t="str">
        <f>VLOOKUP(L805,'Field Reference Guide'!$B$6:$N$220,13,false)</f>
        <v>Mpox</v>
      </c>
    </row>
    <row r="806">
      <c r="A806" s="34"/>
      <c r="B806" s="53" t="str">
        <f>IFERROR(__xludf.DUMMYFUNCTION("""COMPUTED_VALUE"""),"Cluster/Outbreak investigation                    ")</f>
        <v>Cluster/Outbreak investigation                    </v>
      </c>
      <c r="C806" s="34" t="str">
        <f>IFERROR(__xludf.DUMMYFUNCTION("""COMPUTED_VALUE"""),"GENEPIO:0100001")</f>
        <v>GENEPIO:0100001</v>
      </c>
      <c r="D806" s="29" t="str">
        <f>IFERROR(__xludf.DUMMYFUNCTION("""COMPUTED_VALUE"""),"A sampling strategy in which individuals are chosen for investigation into a disease cluster or outbreak.")</f>
        <v>A sampling strategy in which individuals are chosen for investigation into a disease cluster or outbreak.</v>
      </c>
      <c r="H806" s="55" t="s">
        <v>19</v>
      </c>
      <c r="I806" s="55" t="s">
        <v>19</v>
      </c>
      <c r="J806" s="55" t="s">
        <v>19</v>
      </c>
      <c r="K806" s="55" t="str">
        <f t="shared" ref="K806:K809" si="54">K805</f>
        <v>Mpox</v>
      </c>
      <c r="M806" s="57" t="s">
        <v>26</v>
      </c>
    </row>
    <row r="807">
      <c r="A807" s="34"/>
      <c r="B807" s="53" t="str">
        <f>IFERROR(__xludf.DUMMYFUNCTION("""COMPUTED_VALUE"""),"Diagnostic testing                    ")</f>
        <v>Diagnostic testing                    </v>
      </c>
      <c r="C807" s="34" t="str">
        <f>IFERROR(__xludf.DUMMYFUNCTION("""COMPUTED_VALUE"""),"GENEPIO:0100002")</f>
        <v>GENEPIO:0100002</v>
      </c>
      <c r="D807" s="29" t="str">
        <f>IFERROR(__xludf.DUMMYFUNCTION("""COMPUTED_VALUE"""),"A sampling strategy in which individuals are sampled in the context of diagnostic testing.")</f>
        <v>A sampling strategy in which individuals are sampled in the context of diagnostic testing.</v>
      </c>
      <c r="H807" s="55" t="s">
        <v>19</v>
      </c>
      <c r="I807" s="55" t="s">
        <v>19</v>
      </c>
      <c r="J807" s="55" t="s">
        <v>19</v>
      </c>
      <c r="K807" s="55" t="str">
        <f t="shared" si="54"/>
        <v>Mpox</v>
      </c>
      <c r="M807" s="40"/>
    </row>
    <row r="808">
      <c r="A808" s="34"/>
      <c r="B808" s="53" t="str">
        <f>IFERROR(__xludf.DUMMYFUNCTION("""COMPUTED_VALUE"""),"Research                    ")</f>
        <v>Research                    </v>
      </c>
      <c r="C808" s="34" t="str">
        <f>IFERROR(__xludf.DUMMYFUNCTION("""COMPUTED_VALUE"""),"GENEPIO:0100003")</f>
        <v>GENEPIO:0100003</v>
      </c>
      <c r="D808" s="29" t="str">
        <f>IFERROR(__xludf.DUMMYFUNCTION("""COMPUTED_VALUE"""),"A sampling strategy in which individuals are sampled in order to perform research.")</f>
        <v>A sampling strategy in which individuals are sampled in order to perform research.</v>
      </c>
      <c r="H808" s="55" t="s">
        <v>19</v>
      </c>
      <c r="I808" s="55" t="s">
        <v>19</v>
      </c>
      <c r="J808" s="55" t="s">
        <v>19</v>
      </c>
      <c r="K808" s="55" t="str">
        <f t="shared" si="54"/>
        <v>Mpox</v>
      </c>
      <c r="M808" s="40"/>
    </row>
    <row r="809">
      <c r="A809" s="34"/>
      <c r="B809" s="53" t="str">
        <f>IFERROR(__xludf.DUMMYFUNCTION("""COMPUTED_VALUE"""),"Surveillance                    ")</f>
        <v>Surveillance                    </v>
      </c>
      <c r="C809" s="34" t="str">
        <f>IFERROR(__xludf.DUMMYFUNCTION("""COMPUTED_VALUE"""),"GENEPIO:0100004")</f>
        <v>GENEPIO:0100004</v>
      </c>
      <c r="D809" s="29" t="str">
        <f>IFERROR(__xludf.DUMMYFUNCTION("""COMPUTED_VALUE"""),"A sampling strategy in which individuals are sampled for surveillance investigations.")</f>
        <v>A sampling strategy in which individuals are sampled for surveillance investigations.</v>
      </c>
      <c r="H809" s="55" t="s">
        <v>19</v>
      </c>
      <c r="I809" s="55" t="s">
        <v>19</v>
      </c>
      <c r="J809" s="55" t="s">
        <v>19</v>
      </c>
      <c r="K809" s="55" t="str">
        <f t="shared" si="54"/>
        <v>Mpox</v>
      </c>
      <c r="M809" s="40"/>
    </row>
    <row r="810" hidden="1">
      <c r="A810" s="34" t="str">
        <f>IFERROR(__xludf.DUMMYFUNCTION("""COMPUTED_VALUE"""),"purpose of sampling international menu")</f>
        <v>purpose of sampling international menu</v>
      </c>
      <c r="B810" s="53" t="str">
        <f>IFERROR(__xludf.DUMMYFUNCTION("""COMPUTED_VALUE"""),"                    ")</f>
        <v>                    </v>
      </c>
      <c r="C810" s="34"/>
      <c r="D810" s="29" t="str">
        <f>IFERROR(__xludf.DUMMYFUNCTION("""COMPUTED_VALUE"""),"")</f>
        <v/>
      </c>
      <c r="E810" s="34"/>
      <c r="F810" s="34"/>
      <c r="G810" s="34"/>
      <c r="H810" s="55"/>
      <c r="I810" s="55"/>
      <c r="J810" s="55"/>
      <c r="K810" s="59" t="s">
        <v>27</v>
      </c>
      <c r="L810" s="34" t="str">
        <f>LEFT(A810, LEN(A810) - 5)
</f>
        <v>purpose of sampling international</v>
      </c>
      <c r="M810" s="34" t="str">
        <f>VLOOKUP(L810,'Field Reference Guide'!$B$6:$N$220,13,false)</f>
        <v>#N/A</v>
      </c>
    </row>
    <row r="811" hidden="1">
      <c r="A811" s="34"/>
      <c r="B811" s="53" t="str">
        <f>IFERROR(__xludf.DUMMYFUNCTION("""COMPUTED_VALUE"""),"Cluster/Outbreak investigation [GENEPIO:0100001]                    ")</f>
        <v>Cluster/Outbreak investigation [GENEPIO:0100001]                    </v>
      </c>
      <c r="C811" s="34" t="str">
        <f>IFERROR(__xludf.DUMMYFUNCTION("""COMPUTED_VALUE"""),"GENEPIO:0100001")</f>
        <v>GENEPIO:0100001</v>
      </c>
      <c r="D811" s="29" t="str">
        <f>IFERROR(__xludf.DUMMYFUNCTION("""COMPUTED_VALUE"""),"A sampling strategy in which individuals are chosen for investigation into a disease cluster or outbreak.")</f>
        <v>A sampling strategy in which individuals are chosen for investigation into a disease cluster or outbreak.</v>
      </c>
      <c r="H811" s="55" t="s">
        <v>19</v>
      </c>
      <c r="I811" s="55" t="s">
        <v>19</v>
      </c>
      <c r="J811" s="55" t="s">
        <v>19</v>
      </c>
      <c r="K811" s="55" t="str">
        <f t="shared" ref="K811:K814" si="55">K810</f>
        <v>International</v>
      </c>
      <c r="M811" s="57" t="s">
        <v>28</v>
      </c>
    </row>
    <row r="812" hidden="1">
      <c r="A812" s="34"/>
      <c r="B812" s="53" t="str">
        <f>IFERROR(__xludf.DUMMYFUNCTION("""COMPUTED_VALUE"""),"Diagnostic testing [GENEPIO:0100002]                    ")</f>
        <v>Diagnostic testing [GENEPIO:0100002]                    </v>
      </c>
      <c r="C812" s="34" t="str">
        <f>IFERROR(__xludf.DUMMYFUNCTION("""COMPUTED_VALUE"""),"GENEPIO:0100002")</f>
        <v>GENEPIO:0100002</v>
      </c>
      <c r="D812" s="29" t="str">
        <f>IFERROR(__xludf.DUMMYFUNCTION("""COMPUTED_VALUE"""),"A sampling strategy in which individuals are sampled in the context of diagnostic testing.")</f>
        <v>A sampling strategy in which individuals are sampled in the context of diagnostic testing.</v>
      </c>
      <c r="H812" s="55" t="s">
        <v>19</v>
      </c>
      <c r="I812" s="55" t="s">
        <v>19</v>
      </c>
      <c r="J812" s="55" t="s">
        <v>19</v>
      </c>
      <c r="K812" s="55" t="str">
        <f t="shared" si="55"/>
        <v>International</v>
      </c>
      <c r="M812" s="40"/>
    </row>
    <row r="813" hidden="1">
      <c r="A813" s="34"/>
      <c r="B813" s="53" t="str">
        <f>IFERROR(__xludf.DUMMYFUNCTION("""COMPUTED_VALUE"""),"Research [GENEPIO:0100003]                    ")</f>
        <v>Research [GENEPIO:0100003]                    </v>
      </c>
      <c r="C813" s="34" t="str">
        <f>IFERROR(__xludf.DUMMYFUNCTION("""COMPUTED_VALUE"""),"GENEPIO:0100003")</f>
        <v>GENEPIO:0100003</v>
      </c>
      <c r="D813" s="29" t="str">
        <f>IFERROR(__xludf.DUMMYFUNCTION("""COMPUTED_VALUE"""),"A sampling strategy in which individuals are sampled in order to perform research.")</f>
        <v>A sampling strategy in which individuals are sampled in order to perform research.</v>
      </c>
      <c r="H813" s="55" t="s">
        <v>19</v>
      </c>
      <c r="I813" s="55" t="s">
        <v>19</v>
      </c>
      <c r="J813" s="55" t="s">
        <v>19</v>
      </c>
      <c r="K813" s="55" t="str">
        <f t="shared" si="55"/>
        <v>International</v>
      </c>
      <c r="M813" s="40"/>
    </row>
    <row r="814" hidden="1">
      <c r="A814" s="34"/>
      <c r="B814" s="53" t="str">
        <f>IFERROR(__xludf.DUMMYFUNCTION("""COMPUTED_VALUE"""),"Surveillance [GENEPIO:0100004]                    ")</f>
        <v>Surveillance [GENEPIO:0100004]                    </v>
      </c>
      <c r="C814" s="34" t="str">
        <f>IFERROR(__xludf.DUMMYFUNCTION("""COMPUTED_VALUE"""),"GENEPIO:0100004")</f>
        <v>GENEPIO:0100004</v>
      </c>
      <c r="D814" s="29" t="str">
        <f>IFERROR(__xludf.DUMMYFUNCTION("""COMPUTED_VALUE"""),"A sampling strategy in which individuals are sampled for surveillance investigations.")</f>
        <v>A sampling strategy in which individuals are sampled for surveillance investigations.</v>
      </c>
      <c r="H814" s="55" t="s">
        <v>19</v>
      </c>
      <c r="I814" s="55" t="s">
        <v>19</v>
      </c>
      <c r="J814" s="55" t="s">
        <v>19</v>
      </c>
      <c r="K814" s="55" t="str">
        <f t="shared" si="55"/>
        <v>International</v>
      </c>
      <c r="M814" s="40"/>
    </row>
    <row r="815">
      <c r="A815" s="34" t="str">
        <f>IFERROR(__xludf.DUMMYFUNCTION("""COMPUTED_VALUE"""),"purpose of sequencing menu")</f>
        <v>purpose of sequencing menu</v>
      </c>
      <c r="B815" s="53" t="str">
        <f>IFERROR(__xludf.DUMMYFUNCTION("""COMPUTED_VALUE"""),"                    ")</f>
        <v>                    </v>
      </c>
      <c r="C815" s="34"/>
      <c r="D815" s="29" t="str">
        <f>IFERROR(__xludf.DUMMYFUNCTION("""COMPUTED_VALUE"""),"")</f>
        <v/>
      </c>
      <c r="E815" s="34"/>
      <c r="F815" s="34"/>
      <c r="G815" s="34"/>
      <c r="H815" s="55"/>
      <c r="I815" s="55"/>
      <c r="J815" s="55"/>
      <c r="K815" s="55" t="s">
        <v>26</v>
      </c>
      <c r="L815" s="34" t="str">
        <f>LEFT(A815, LEN(A815) - 5)
</f>
        <v>purpose of sequencing</v>
      </c>
      <c r="M815" s="34" t="str">
        <f>VLOOKUP(L815,'Field Reference Guide'!$B$6:$N$220,13,false)</f>
        <v>Mpox</v>
      </c>
    </row>
    <row r="816">
      <c r="A816" s="34"/>
      <c r="B816" s="53" t="str">
        <f>IFERROR(__xludf.DUMMYFUNCTION("""COMPUTED_VALUE"""),"Baseline surveillance (random sampling)                    ")</f>
        <v>Baseline surveillance (random sampling)                    </v>
      </c>
      <c r="C816" s="34" t="str">
        <f>IFERROR(__xludf.DUMMYFUNCTION("""COMPUTED_VALUE"""),"GENEPIO:0100005")</f>
        <v>GENEPIO:0100005</v>
      </c>
      <c r="D816"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H816" s="55" t="s">
        <v>19</v>
      </c>
      <c r="I816" s="55" t="s">
        <v>19</v>
      </c>
      <c r="J816" s="55" t="s">
        <v>19</v>
      </c>
      <c r="K816" s="55" t="str">
        <f t="shared" ref="K816:K833" si="56">K815</f>
        <v>Mpox</v>
      </c>
      <c r="M816" s="57" t="s">
        <v>26</v>
      </c>
    </row>
    <row r="817">
      <c r="A817" s="34"/>
      <c r="B817" s="53" t="str">
        <f>IFERROR(__xludf.DUMMYFUNCTION("""COMPUTED_VALUE"""),"Targeted surveillance (non-random sampling)                    ")</f>
        <v>Targeted surveillance (non-random sampling)                    </v>
      </c>
      <c r="C817" s="34" t="str">
        <f>IFERROR(__xludf.DUMMYFUNCTION("""COMPUTED_VALUE"""),"GENEPIO:0100006")</f>
        <v>GENEPIO:0100006</v>
      </c>
      <c r="D817" s="29" t="str">
        <f>IFERROR(__xludf.DUMMYFUNCTION("""COMPUTED_VALUE"""),"A surveillance sampling strategy in which an aspired outcome is explicity stated.")</f>
        <v>A surveillance sampling strategy in which an aspired outcome is explicity stated.</v>
      </c>
      <c r="H817" s="55" t="s">
        <v>19</v>
      </c>
      <c r="I817" s="55" t="s">
        <v>19</v>
      </c>
      <c r="J817" s="55" t="s">
        <v>19</v>
      </c>
      <c r="K817" s="55" t="str">
        <f t="shared" si="56"/>
        <v>Mpox</v>
      </c>
      <c r="M817" s="40"/>
    </row>
    <row r="818">
      <c r="A818" s="34"/>
      <c r="B818" s="53" t="str">
        <f>IFERROR(__xludf.DUMMYFUNCTION("""COMPUTED_VALUE"""),"     Priority surveillance project               ")</f>
        <v>     Priority surveillance project               </v>
      </c>
      <c r="C818" s="34" t="str">
        <f>IFERROR(__xludf.DUMMYFUNCTION("""COMPUTED_VALUE"""),"GENEPIO:0100007")</f>
        <v>GENEPIO:0100007</v>
      </c>
      <c r="D818" s="29" t="str">
        <f>IFERROR(__xludf.DUMMYFUNCTION("""COMPUTED_VALUE"""),"A targeted surveillance strategy which is considered important and/or urgent.")</f>
        <v>A targeted surveillance strategy which is considered important and/or urgent.</v>
      </c>
      <c r="H818" s="55" t="s">
        <v>19</v>
      </c>
      <c r="I818" s="55" t="s">
        <v>19</v>
      </c>
      <c r="J818" s="55" t="s">
        <v>19</v>
      </c>
      <c r="K818" s="55" t="str">
        <f t="shared" si="56"/>
        <v>Mpox</v>
      </c>
      <c r="M818" s="40"/>
    </row>
    <row r="819">
      <c r="A819" s="34"/>
      <c r="B819" s="53" t="str">
        <f>IFERROR(__xludf.DUMMYFUNCTION("""COMPUTED_VALUE"""),"          Longitudinal surveillance (repeat sampling of individuals)          ")</f>
        <v>          Longitudinal surveillance (repeat sampling of individuals)          </v>
      </c>
      <c r="C819" s="34" t="str">
        <f>IFERROR(__xludf.DUMMYFUNCTION("""COMPUTED_VALUE"""),"GENEPIO:0100009")</f>
        <v>GENEPIO:0100009</v>
      </c>
      <c r="D819"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H819" s="55" t="s">
        <v>19</v>
      </c>
      <c r="I819" s="55" t="s">
        <v>19</v>
      </c>
      <c r="J819" s="55" t="s">
        <v>19</v>
      </c>
      <c r="K819" s="55" t="str">
        <f t="shared" si="56"/>
        <v>Mpox</v>
      </c>
      <c r="M819" s="40"/>
    </row>
    <row r="820">
      <c r="A820" s="34"/>
      <c r="B820" s="53" t="str">
        <f>IFERROR(__xludf.DUMMYFUNCTION("""COMPUTED_VALUE"""),"          Re-infection surveillance          ")</f>
        <v>          Re-infection surveillance          </v>
      </c>
      <c r="C820" s="34" t="str">
        <f>IFERROR(__xludf.DUMMYFUNCTION("""COMPUTED_VALUE"""),"GENEPIO:0100010")</f>
        <v>GENEPIO:0100010</v>
      </c>
      <c r="D820"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H820" s="55" t="s">
        <v>19</v>
      </c>
      <c r="I820" s="55" t="s">
        <v>19</v>
      </c>
      <c r="J820" s="55" t="s">
        <v>19</v>
      </c>
      <c r="K820" s="55" t="str">
        <f t="shared" si="56"/>
        <v>Mpox</v>
      </c>
      <c r="M820" s="40"/>
    </row>
    <row r="821">
      <c r="A821" s="34"/>
      <c r="B821" s="53" t="str">
        <f>IFERROR(__xludf.DUMMYFUNCTION("""COMPUTED_VALUE"""),"          Vaccine escape surveillance          ")</f>
        <v>          Vaccine escape surveillance          </v>
      </c>
      <c r="C821" s="34" t="str">
        <f>IFERROR(__xludf.DUMMYFUNCTION("""COMPUTED_VALUE"""),"GENEPIO:0100011")</f>
        <v>GENEPIO:0100011</v>
      </c>
      <c r="D821"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H821" s="55" t="s">
        <v>19</v>
      </c>
      <c r="I821" s="55" t="s">
        <v>19</v>
      </c>
      <c r="J821" s="55" t="s">
        <v>19</v>
      </c>
      <c r="K821" s="55" t="str">
        <f t="shared" si="56"/>
        <v>Mpox</v>
      </c>
      <c r="M821" s="40"/>
    </row>
    <row r="822">
      <c r="A822" s="34"/>
      <c r="B822" s="53" t="str">
        <f>IFERROR(__xludf.DUMMYFUNCTION("""COMPUTED_VALUE"""),"          Travel-associated surveillance          ")</f>
        <v>          Travel-associated surveillance          </v>
      </c>
      <c r="C822" s="34" t="str">
        <f>IFERROR(__xludf.DUMMYFUNCTION("""COMPUTED_VALUE"""),"GENEPIO:0100012")</f>
        <v>GENEPIO:0100012</v>
      </c>
      <c r="D822"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H822" s="55" t="s">
        <v>19</v>
      </c>
      <c r="I822" s="55" t="s">
        <v>19</v>
      </c>
      <c r="J822" s="55" t="s">
        <v>19</v>
      </c>
      <c r="K822" s="55" t="str">
        <f t="shared" si="56"/>
        <v>Mpox</v>
      </c>
      <c r="M822" s="40"/>
    </row>
    <row r="823">
      <c r="A823" s="34"/>
      <c r="B823" s="53" t="str">
        <f>IFERROR(__xludf.DUMMYFUNCTION("""COMPUTED_VALUE"""),"               Domestic travel surveillance     ")</f>
        <v>               Domestic travel surveillance     </v>
      </c>
      <c r="C823" s="34" t="str">
        <f>IFERROR(__xludf.DUMMYFUNCTION("""COMPUTED_VALUE"""),"GENEPIO:0100013")</f>
        <v>GENEPIO:0100013</v>
      </c>
      <c r="D823"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H823" s="55" t="s">
        <v>19</v>
      </c>
      <c r="I823" s="55" t="s">
        <v>19</v>
      </c>
      <c r="J823" s="55" t="s">
        <v>19</v>
      </c>
      <c r="K823" s="55" t="str">
        <f t="shared" si="56"/>
        <v>Mpox</v>
      </c>
      <c r="M823" s="40"/>
    </row>
    <row r="824">
      <c r="A824" s="29"/>
      <c r="B824" s="53" t="str">
        <f>IFERROR(__xludf.DUMMYFUNCTION("""COMPUTED_VALUE"""),"                    Interstate/ interprovincial travel surveillance")</f>
        <v>                    Interstate/ interprovincial travel surveillance</v>
      </c>
      <c r="C824" s="29" t="str">
        <f>IFERROR(__xludf.DUMMYFUNCTION("""COMPUTED_VALUE"""),"GENEPIO:0100275")</f>
        <v>GENEPIO:0100275</v>
      </c>
      <c r="D824"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E824" s="29"/>
      <c r="F824" s="29"/>
      <c r="G824" s="29"/>
      <c r="H824" s="29"/>
      <c r="I824" s="29"/>
      <c r="J824" s="29"/>
      <c r="K824" s="55" t="str">
        <f t="shared" si="56"/>
        <v>Mpox</v>
      </c>
      <c r="M824" s="40"/>
    </row>
    <row r="825">
      <c r="A825" s="29"/>
      <c r="B825" s="53" t="str">
        <f>IFERROR(__xludf.DUMMYFUNCTION("""COMPUTED_VALUE"""),"                    Intra-state/ intra-provincial travel surveillance")</f>
        <v>                    Intra-state/ intra-provincial travel surveillance</v>
      </c>
      <c r="C825" s="29" t="str">
        <f>IFERROR(__xludf.DUMMYFUNCTION("""COMPUTED_VALUE"""),"GENEPIO:0100276")</f>
        <v>GENEPIO:0100276</v>
      </c>
      <c r="D825"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E825" s="29"/>
      <c r="F825" s="29"/>
      <c r="G825" s="29"/>
      <c r="H825" s="56" t="s">
        <v>19</v>
      </c>
      <c r="I825" s="56" t="s">
        <v>19</v>
      </c>
      <c r="J825" s="56" t="s">
        <v>19</v>
      </c>
      <c r="K825" s="55" t="str">
        <f t="shared" si="56"/>
        <v>Mpox</v>
      </c>
      <c r="M825" s="40"/>
    </row>
    <row r="826">
      <c r="A826" s="29"/>
      <c r="B826" s="53" t="str">
        <f>IFERROR(__xludf.DUMMYFUNCTION("""COMPUTED_VALUE"""),"               International travel surveillance     ")</f>
        <v>               International travel surveillance     </v>
      </c>
      <c r="C826" s="29" t="str">
        <f>IFERROR(__xludf.DUMMYFUNCTION("""COMPUTED_VALUE"""),"GENEPIO:0100014")</f>
        <v>GENEPIO:0100014</v>
      </c>
      <c r="D826"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E826" s="29"/>
      <c r="F826" s="29"/>
      <c r="G826" s="29"/>
      <c r="H826" s="56" t="s">
        <v>19</v>
      </c>
      <c r="I826" s="56" t="s">
        <v>19</v>
      </c>
      <c r="J826" s="56" t="s">
        <v>19</v>
      </c>
      <c r="K826" s="55" t="str">
        <f t="shared" si="56"/>
        <v>Mpox</v>
      </c>
      <c r="M826" s="40"/>
    </row>
    <row r="827">
      <c r="A827" s="29"/>
      <c r="B827" s="53" t="str">
        <f>IFERROR(__xludf.DUMMYFUNCTION("""COMPUTED_VALUE"""),"Cluster/Outbreak investigation                    ")</f>
        <v>Cluster/Outbreak investigation                    </v>
      </c>
      <c r="C827" s="29" t="str">
        <f>IFERROR(__xludf.DUMMYFUNCTION("""COMPUTED_VALUE"""),"GENEPIO:0100019")</f>
        <v>GENEPIO:0100019</v>
      </c>
      <c r="D827" s="29" t="str">
        <f>IFERROR(__xludf.DUMMYFUNCTION("""COMPUTED_VALUE"""),"A sampling strategy in which individuals are chosen for investigation into a disease cluster or outbreak.")</f>
        <v>A sampling strategy in which individuals are chosen for investigation into a disease cluster or outbreak.</v>
      </c>
      <c r="E827" s="29"/>
      <c r="F827" s="29"/>
      <c r="G827" s="29"/>
      <c r="H827" s="56" t="s">
        <v>19</v>
      </c>
      <c r="I827" s="56" t="s">
        <v>19</v>
      </c>
      <c r="J827" s="56" t="s">
        <v>19</v>
      </c>
      <c r="K827" s="55" t="str">
        <f t="shared" si="56"/>
        <v>Mpox</v>
      </c>
      <c r="M827" s="40"/>
    </row>
    <row r="828">
      <c r="A828" s="29"/>
      <c r="B828" s="53" t="str">
        <f>IFERROR(__xludf.DUMMYFUNCTION("""COMPUTED_VALUE"""),"     Multi-jurisdictional outbreak investigation               ")</f>
        <v>     Multi-jurisdictional outbreak investigation               </v>
      </c>
      <c r="C828" s="29" t="str">
        <f>IFERROR(__xludf.DUMMYFUNCTION("""COMPUTED_VALUE"""),"GENEPIO:0100020")</f>
        <v>GENEPIO:0100020</v>
      </c>
      <c r="D828"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E828" s="29"/>
      <c r="F828" s="29"/>
      <c r="G828" s="29"/>
      <c r="H828" s="56" t="s">
        <v>19</v>
      </c>
      <c r="I828" s="56" t="s">
        <v>19</v>
      </c>
      <c r="J828" s="56" t="s">
        <v>19</v>
      </c>
      <c r="K828" s="55" t="str">
        <f t="shared" si="56"/>
        <v>Mpox</v>
      </c>
      <c r="M828" s="40"/>
    </row>
    <row r="829">
      <c r="A829" s="29"/>
      <c r="B829" s="53" t="str">
        <f>IFERROR(__xludf.DUMMYFUNCTION("""COMPUTED_VALUE"""),"     Intra-jurisdictional outbreak investigation               ")</f>
        <v>     Intra-jurisdictional outbreak investigation               </v>
      </c>
      <c r="C829" s="29" t="str">
        <f>IFERROR(__xludf.DUMMYFUNCTION("""COMPUTED_VALUE"""),"GENEPIO:0100021")</f>
        <v>GENEPIO:0100021</v>
      </c>
      <c r="D829"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E829" s="29"/>
      <c r="F829" s="29"/>
      <c r="G829" s="29"/>
      <c r="H829" s="56" t="s">
        <v>19</v>
      </c>
      <c r="I829" s="56" t="s">
        <v>19</v>
      </c>
      <c r="J829" s="56" t="s">
        <v>19</v>
      </c>
      <c r="K829" s="55" t="str">
        <f t="shared" si="56"/>
        <v>Mpox</v>
      </c>
      <c r="M829" s="40"/>
    </row>
    <row r="830">
      <c r="A830" s="29"/>
      <c r="B830" s="53" t="str">
        <f>IFERROR(__xludf.DUMMYFUNCTION("""COMPUTED_VALUE"""),"Research                    ")</f>
        <v>Research                    </v>
      </c>
      <c r="C830" s="29" t="str">
        <f>IFERROR(__xludf.DUMMYFUNCTION("""COMPUTED_VALUE"""),"GENEPIO:0100022")</f>
        <v>GENEPIO:0100022</v>
      </c>
      <c r="D830" s="29" t="str">
        <f>IFERROR(__xludf.DUMMYFUNCTION("""COMPUTED_VALUE"""),"A sampling strategy in which individuals are sampled in order to perform research.")</f>
        <v>A sampling strategy in which individuals are sampled in order to perform research.</v>
      </c>
      <c r="E830" s="29"/>
      <c r="F830" s="29"/>
      <c r="G830" s="29"/>
      <c r="H830" s="56" t="s">
        <v>19</v>
      </c>
      <c r="I830" s="56" t="s">
        <v>19</v>
      </c>
      <c r="J830" s="56" t="s">
        <v>19</v>
      </c>
      <c r="K830" s="55" t="str">
        <f t="shared" si="56"/>
        <v>Mpox</v>
      </c>
      <c r="M830" s="40"/>
    </row>
    <row r="831">
      <c r="A831" s="29"/>
      <c r="B831" s="53" t="str">
        <f>IFERROR(__xludf.DUMMYFUNCTION("""COMPUTED_VALUE"""),"     Viral passage experiment               ")</f>
        <v>     Viral passage experiment               </v>
      </c>
      <c r="C831" s="29" t="str">
        <f>IFERROR(__xludf.DUMMYFUNCTION("""COMPUTED_VALUE"""),"GENEPIO:0100023")</f>
        <v>GENEPIO:0100023</v>
      </c>
      <c r="D831" s="29" t="str">
        <f>IFERROR(__xludf.DUMMYFUNCTION("""COMPUTED_VALUE"""),"A research sampling strategy in which individuals are sampled in order to perform a viral passage experiment.")</f>
        <v>A research sampling strategy in which individuals are sampled in order to perform a viral passage experiment.</v>
      </c>
      <c r="E831" s="29"/>
      <c r="F831" s="29"/>
      <c r="G831" s="29"/>
      <c r="H831" s="56" t="s">
        <v>19</v>
      </c>
      <c r="I831" s="56" t="s">
        <v>19</v>
      </c>
      <c r="J831" s="56" t="s">
        <v>19</v>
      </c>
      <c r="K831" s="55" t="str">
        <f t="shared" si="56"/>
        <v>Mpox</v>
      </c>
      <c r="M831" s="40"/>
    </row>
    <row r="832">
      <c r="A832" s="29"/>
      <c r="B832" s="53" t="str">
        <f>IFERROR(__xludf.DUMMYFUNCTION("""COMPUTED_VALUE"""),"     Protocol testing experiment               ")</f>
        <v>     Protocol testing experiment               </v>
      </c>
      <c r="C832" s="29" t="str">
        <f>IFERROR(__xludf.DUMMYFUNCTION("""COMPUTED_VALUE"""),"GENEPIO:0100024")</f>
        <v>GENEPIO:0100024</v>
      </c>
      <c r="D832"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E832" s="29"/>
      <c r="F832" s="29"/>
      <c r="G832" s="29"/>
      <c r="H832" s="56" t="s">
        <v>19</v>
      </c>
      <c r="I832" s="56" t="s">
        <v>19</v>
      </c>
      <c r="J832" s="56" t="s">
        <v>19</v>
      </c>
      <c r="K832" s="55" t="str">
        <f t="shared" si="56"/>
        <v>Mpox</v>
      </c>
      <c r="M832" s="40"/>
    </row>
    <row r="833">
      <c r="A833" s="29"/>
      <c r="B833" s="53" t="str">
        <f>IFERROR(__xludf.DUMMYFUNCTION("""COMPUTED_VALUE"""),"Retrospective sequencing                    ")</f>
        <v>Retrospective sequencing                    </v>
      </c>
      <c r="C833" s="29" t="str">
        <f>IFERROR(__xludf.DUMMYFUNCTION("""COMPUTED_VALUE"""),"GENEPIO:0100356")</f>
        <v>GENEPIO:0100356</v>
      </c>
      <c r="D833" s="29" t="str">
        <f>IFERROR(__xludf.DUMMYFUNCTION("""COMPUTED_VALUE"""),"A sampling strategy in which stored samples from past events are sequenced.")</f>
        <v>A sampling strategy in which stored samples from past events are sequenced.</v>
      </c>
      <c r="E833" s="29"/>
      <c r="F833" s="29"/>
      <c r="G833" s="29"/>
      <c r="H833" s="56" t="s">
        <v>19</v>
      </c>
      <c r="I833" s="56" t="s">
        <v>19</v>
      </c>
      <c r="J833" s="56" t="s">
        <v>19</v>
      </c>
      <c r="K833" s="55" t="str">
        <f t="shared" si="56"/>
        <v>Mpox</v>
      </c>
      <c r="M833" s="40"/>
    </row>
    <row r="834" hidden="1">
      <c r="A834" s="29" t="str">
        <f>IFERROR(__xludf.DUMMYFUNCTION("""COMPUTED_VALUE"""),"purpose of sequencing international menu")</f>
        <v>purpose of sequencing international menu</v>
      </c>
      <c r="B834" s="53" t="str">
        <f>IFERROR(__xludf.DUMMYFUNCTION("""COMPUTED_VALUE"""),"                    ")</f>
        <v>                    </v>
      </c>
      <c r="C834" s="29"/>
      <c r="D834" s="29" t="str">
        <f>IFERROR(__xludf.DUMMYFUNCTION("""COMPUTED_VALUE"""),"")</f>
        <v/>
      </c>
      <c r="E834" s="29"/>
      <c r="F834" s="29"/>
      <c r="G834" s="29"/>
      <c r="H834" s="56"/>
      <c r="I834" s="56"/>
      <c r="J834" s="56"/>
      <c r="K834" s="59" t="s">
        <v>27</v>
      </c>
      <c r="L834" s="34" t="str">
        <f>LEFT(A834, LEN(A834) - 5)
</f>
        <v>purpose of sequencing international</v>
      </c>
      <c r="M834" s="34" t="str">
        <f>VLOOKUP(L834,'Field Reference Guide'!$B$6:$N$220,13,false)</f>
        <v>#N/A</v>
      </c>
    </row>
    <row r="835" hidden="1">
      <c r="A835" s="29"/>
      <c r="B835" s="53" t="str">
        <f>IFERROR(__xludf.DUMMYFUNCTION("""COMPUTED_VALUE"""),"Baseline surveillance (random sampling) [GENEPIO:0100005]                    ")</f>
        <v>Baseline surveillance (random sampling) [GENEPIO:0100005]                    </v>
      </c>
      <c r="C835" s="29" t="str">
        <f>IFERROR(__xludf.DUMMYFUNCTION("""COMPUTED_VALUE"""),"GENEPIO:0100005")</f>
        <v>GENEPIO:0100005</v>
      </c>
      <c r="D835" s="29" t="str">
        <f>IFERROR(__xludf.DUMMYFUNCTION("""COMPUTED_VALUE"""),"A surveillance sampling strategy in which baseline is established at the beginning of a study or project by the selection of sample units via random sampling.")</f>
        <v>A surveillance sampling strategy in which baseline is established at the beginning of a study or project by the selection of sample units via random sampling.</v>
      </c>
      <c r="E835" s="29"/>
      <c r="F835" s="29"/>
      <c r="G835" s="29"/>
      <c r="H835" s="56" t="s">
        <v>19</v>
      </c>
      <c r="I835" s="56" t="s">
        <v>19</v>
      </c>
      <c r="J835" s="56" t="s">
        <v>19</v>
      </c>
      <c r="K835" s="55" t="str">
        <f t="shared" ref="K835:K852" si="57">K834</f>
        <v>International</v>
      </c>
      <c r="M835" s="57" t="s">
        <v>28</v>
      </c>
    </row>
    <row r="836" hidden="1">
      <c r="A836" s="29"/>
      <c r="B836" s="53" t="str">
        <f>IFERROR(__xludf.DUMMYFUNCTION("""COMPUTED_VALUE"""),"Targeted surveillance (non-random sampling) [GENEPIO:0100006]                    ")</f>
        <v>Targeted surveillance (non-random sampling) [GENEPIO:0100006]                    </v>
      </c>
      <c r="C836" s="29" t="str">
        <f>IFERROR(__xludf.DUMMYFUNCTION("""COMPUTED_VALUE"""),"GENEPIO:0100006")</f>
        <v>GENEPIO:0100006</v>
      </c>
      <c r="D836" s="29" t="str">
        <f>IFERROR(__xludf.DUMMYFUNCTION("""COMPUTED_VALUE"""),"A surveillance sampling strategy in which an aspired outcome is explicity stated.")</f>
        <v>A surveillance sampling strategy in which an aspired outcome is explicity stated.</v>
      </c>
      <c r="E836" s="29"/>
      <c r="F836" s="29"/>
      <c r="G836" s="29"/>
      <c r="H836" s="56" t="s">
        <v>19</v>
      </c>
      <c r="I836" s="56" t="s">
        <v>19</v>
      </c>
      <c r="J836" s="56" t="s">
        <v>19</v>
      </c>
      <c r="K836" s="55" t="str">
        <f t="shared" si="57"/>
        <v>International</v>
      </c>
      <c r="M836" s="40"/>
    </row>
    <row r="837" hidden="1">
      <c r="A837" s="29"/>
      <c r="B837" s="53" t="str">
        <f>IFERROR(__xludf.DUMMYFUNCTION("""COMPUTED_VALUE"""),"     Priority surveillance project [GENEPIO:0100007]               ")</f>
        <v>     Priority surveillance project [GENEPIO:0100007]               </v>
      </c>
      <c r="C837" s="29" t="str">
        <f>IFERROR(__xludf.DUMMYFUNCTION("""COMPUTED_VALUE"""),"GENEPIO:0100007")</f>
        <v>GENEPIO:0100007</v>
      </c>
      <c r="D837" s="29" t="str">
        <f>IFERROR(__xludf.DUMMYFUNCTION("""COMPUTED_VALUE"""),"A targeted surveillance strategy which is considered important and/or urgent.")</f>
        <v>A targeted surveillance strategy which is considered important and/or urgent.</v>
      </c>
      <c r="E837" s="29"/>
      <c r="F837" s="29"/>
      <c r="G837" s="29"/>
      <c r="H837" s="56" t="s">
        <v>19</v>
      </c>
      <c r="I837" s="56" t="s">
        <v>19</v>
      </c>
      <c r="J837" s="56" t="s">
        <v>19</v>
      </c>
      <c r="K837" s="55" t="str">
        <f t="shared" si="57"/>
        <v>International</v>
      </c>
      <c r="M837" s="40"/>
    </row>
    <row r="838" hidden="1">
      <c r="A838" s="29"/>
      <c r="B838" s="53" t="str">
        <f>IFERROR(__xludf.DUMMYFUNCTION("""COMPUTED_VALUE"""),"          Longitudinal surveillance (repeat sampling of individuals) [GENEPIO:0100009]          ")</f>
        <v>          Longitudinal surveillance (repeat sampling of individuals) [GENEPIO:0100009]          </v>
      </c>
      <c r="C838" s="29" t="str">
        <f>IFERROR(__xludf.DUMMYFUNCTION("""COMPUTED_VALUE"""),"GENEPIO:0100009")</f>
        <v>GENEPIO:0100009</v>
      </c>
      <c r="D838" s="29" t="str">
        <f>IFERROR(__xludf.DUMMYFUNCTION("""COMPUTED_VALUE"""),"A priority surveillance strategy in which subsets of a defined population can be identified who are, have been, or in the future may be exposed or not exposed - or exposed in different degrees - to a disease of interest and are selected to under go repeat"&amp;" sampling over a defined period of time.")</f>
        <v>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v>
      </c>
      <c r="E838" s="29"/>
      <c r="F838" s="29"/>
      <c r="G838" s="29"/>
      <c r="H838" s="56" t="s">
        <v>19</v>
      </c>
      <c r="I838" s="56" t="s">
        <v>19</v>
      </c>
      <c r="J838" s="56" t="s">
        <v>19</v>
      </c>
      <c r="K838" s="55" t="str">
        <f t="shared" si="57"/>
        <v>International</v>
      </c>
      <c r="M838" s="40"/>
    </row>
    <row r="839" hidden="1">
      <c r="A839" s="29"/>
      <c r="B839" s="53" t="str">
        <f>IFERROR(__xludf.DUMMYFUNCTION("""COMPUTED_VALUE"""),"          Re-infection surveillance [GENEPIO:0100010]          ")</f>
        <v>          Re-infection surveillance [GENEPIO:0100010]          </v>
      </c>
      <c r="C839" s="29" t="str">
        <f>IFERROR(__xludf.DUMMYFUNCTION("""COMPUTED_VALUE"""),"GENEPIO:0100010")</f>
        <v>GENEPIO:0100010</v>
      </c>
      <c r="D839" s="29" t="str">
        <f>IFERROR(__xludf.DUMMYFUNCTION("""COMPUTED_VALUE"""),"A priority surveillance strategy in which a population that previously tested positive for a disease of interest, and since confirmed to have recovered via a negative test, are monitored for positive test indication of re-infection with the disease of int"&amp;"erest within a defined period of time.")</f>
        <v>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v>
      </c>
      <c r="E839" s="29"/>
      <c r="F839" s="29"/>
      <c r="G839" s="29"/>
      <c r="H839" s="56" t="s">
        <v>19</v>
      </c>
      <c r="I839" s="56" t="s">
        <v>19</v>
      </c>
      <c r="J839" s="56" t="s">
        <v>19</v>
      </c>
      <c r="K839" s="55" t="str">
        <f t="shared" si="57"/>
        <v>International</v>
      </c>
      <c r="M839" s="40"/>
    </row>
    <row r="840" hidden="1">
      <c r="A840" s="29"/>
      <c r="B840" s="53" t="str">
        <f>IFERROR(__xludf.DUMMYFUNCTION("""COMPUTED_VALUE"""),"          Vaccine escape surveillance [GENEPIO:0100011]          ")</f>
        <v>          Vaccine escape surveillance [GENEPIO:0100011]          </v>
      </c>
      <c r="C840" s="29" t="str">
        <f>IFERROR(__xludf.DUMMYFUNCTION("""COMPUTED_VALUE"""),"GENEPIO:0100011")</f>
        <v>GENEPIO:0100011</v>
      </c>
      <c r="D840" s="29" t="str">
        <f>IFERROR(__xludf.DUMMYFUNCTION("""COMPUTED_VALUE"""),"A priority surveillance strategy in which individuals are monitored for investigation into vaccine escape, i.e., identifying variants that contain mutations that counteracted the immunity provided by vaccine(s) of interest.")</f>
        <v>A priority surveillance strategy in which individuals are monitored for investigation into vaccine escape, i.e., identifying variants that contain mutations that counteracted the immunity provided by vaccine(s) of interest.</v>
      </c>
      <c r="E840" s="29"/>
      <c r="F840" s="29"/>
      <c r="G840" s="29"/>
      <c r="H840" s="56" t="s">
        <v>19</v>
      </c>
      <c r="I840" s="56" t="s">
        <v>19</v>
      </c>
      <c r="J840" s="56" t="s">
        <v>19</v>
      </c>
      <c r="K840" s="55" t="str">
        <f t="shared" si="57"/>
        <v>International</v>
      </c>
      <c r="M840" s="40"/>
    </row>
    <row r="841" hidden="1">
      <c r="A841" s="29"/>
      <c r="B841" s="53" t="str">
        <f>IFERROR(__xludf.DUMMYFUNCTION("""COMPUTED_VALUE"""),"          Travel-associated surveillance [GENEPIO:0100012]          ")</f>
        <v>          Travel-associated surveillance [GENEPIO:0100012]          </v>
      </c>
      <c r="C841" s="29" t="str">
        <f>IFERROR(__xludf.DUMMYFUNCTION("""COMPUTED_VALUE"""),"GENEPIO:0100012")</f>
        <v>GENEPIO:0100012</v>
      </c>
      <c r="D841" s="29" t="str">
        <f>IFERROR(__xludf.DUMMYFUNCTION("""COMPUTED_VALUE"""),"A priority surveillance strategy in which individuals are selected if they have a travel history outside of the reporting region within a specified number of days before onset of symptoms.")</f>
        <v>A priority surveillance strategy in which individuals are selected if they have a travel history outside of the reporting region within a specified number of days before onset of symptoms.</v>
      </c>
      <c r="E841" s="29"/>
      <c r="F841" s="29"/>
      <c r="G841" s="29"/>
      <c r="H841" s="56" t="s">
        <v>19</v>
      </c>
      <c r="I841" s="56" t="s">
        <v>19</v>
      </c>
      <c r="J841" s="56" t="s">
        <v>19</v>
      </c>
      <c r="K841" s="55" t="str">
        <f t="shared" si="57"/>
        <v>International</v>
      </c>
      <c r="M841" s="40"/>
    </row>
    <row r="842" hidden="1">
      <c r="A842" s="29"/>
      <c r="B842" s="53" t="str">
        <f>IFERROR(__xludf.DUMMYFUNCTION("""COMPUTED_VALUE"""),"               Domestic travel surveillance [GENEPIO:0100013]     ")</f>
        <v>               Domestic travel surveillance [GENEPIO:0100013]     </v>
      </c>
      <c r="C842" s="29" t="str">
        <f>IFERROR(__xludf.DUMMYFUNCTION("""COMPUTED_VALUE"""),"GENEPIO:0100013")</f>
        <v>GENEPIO:0100013</v>
      </c>
      <c r="D842" s="29" t="str">
        <f>IFERROR(__xludf.DUMMYFUNCTION("""COMPUTED_VALUE"""),"A travel-associated surveillance strategy in which individuals are selected if they have an intranational travel history within a specified number of days before onset of symptoms.")</f>
        <v>A travel-associated surveillance strategy in which individuals are selected if they have an intranational travel history within a specified number of days before onset of symptoms.</v>
      </c>
      <c r="E842" s="29"/>
      <c r="F842" s="29"/>
      <c r="G842" s="29"/>
      <c r="H842" s="56" t="s">
        <v>19</v>
      </c>
      <c r="I842" s="56" t="s">
        <v>19</v>
      </c>
      <c r="J842" s="56" t="s">
        <v>19</v>
      </c>
      <c r="K842" s="55" t="str">
        <f t="shared" si="57"/>
        <v>International</v>
      </c>
      <c r="M842" s="40"/>
    </row>
    <row r="843" hidden="1">
      <c r="A843" s="34"/>
      <c r="B843" s="53" t="str">
        <f>IFERROR(__xludf.DUMMYFUNCTION("""COMPUTED_VALUE"""),"                    Interstate/ interprovincial travel surveillance [GENEPIO:0100275]")</f>
        <v>                    Interstate/ interprovincial travel surveillance [GENEPIO:0100275]</v>
      </c>
      <c r="C843" s="34" t="str">
        <f>IFERROR(__xludf.DUMMYFUNCTION("""COMPUTED_VALUE"""),"GENEPIO:0100275")</f>
        <v>GENEPIO:0100275</v>
      </c>
      <c r="D843" s="29" t="str">
        <f>IFERROR(__xludf.DUMMYFUNCTION("""COMPUTED_VALUE"""),"A domestic travel-associated surveillance strategy in which individuals are selected if their travel occurred within a state/province within a nation.")</f>
        <v>A domestic travel-associated surveillance strategy in which individuals are selected if their travel occurred within a state/province within a nation.</v>
      </c>
      <c r="K843" s="55" t="str">
        <f t="shared" si="57"/>
        <v>International</v>
      </c>
      <c r="M843" s="40"/>
    </row>
    <row r="844" hidden="1">
      <c r="A844" s="34"/>
      <c r="B844" s="53" t="str">
        <f>IFERROR(__xludf.DUMMYFUNCTION("""COMPUTED_VALUE"""),"                    Intra-state/ intra-provincial travel surveillance [GENEPIO:0100276]")</f>
        <v>                    Intra-state/ intra-provincial travel surveillance [GENEPIO:0100276]</v>
      </c>
      <c r="C844" s="34" t="str">
        <f>IFERROR(__xludf.DUMMYFUNCTION("""COMPUTED_VALUE"""),"GENEPIO:0100276")</f>
        <v>GENEPIO:0100276</v>
      </c>
      <c r="D844" s="29" t="str">
        <f>IFERROR(__xludf.DUMMYFUNCTION("""COMPUTED_VALUE"""),"A domestic travel-associated surveillance strategy in which individuals are selected if their travel occurred between states/provinces within a nation.")</f>
        <v>A domestic travel-associated surveillance strategy in which individuals are selected if their travel occurred between states/provinces within a nation.</v>
      </c>
      <c r="H844" s="55" t="s">
        <v>19</v>
      </c>
      <c r="I844" s="55" t="s">
        <v>19</v>
      </c>
      <c r="J844" s="55" t="s">
        <v>19</v>
      </c>
      <c r="K844" s="55" t="str">
        <f t="shared" si="57"/>
        <v>International</v>
      </c>
      <c r="M844" s="40"/>
    </row>
    <row r="845" hidden="1">
      <c r="A845" s="34"/>
      <c r="B845" s="53" t="str">
        <f>IFERROR(__xludf.DUMMYFUNCTION("""COMPUTED_VALUE"""),"               International travel surveillance [GENEPIO:0100014]     ")</f>
        <v>               International travel surveillance [GENEPIO:0100014]     </v>
      </c>
      <c r="C845" s="34" t="str">
        <f>IFERROR(__xludf.DUMMYFUNCTION("""COMPUTED_VALUE"""),"GENEPIO:0100014")</f>
        <v>GENEPIO:0100014</v>
      </c>
      <c r="D845" s="29" t="str">
        <f>IFERROR(__xludf.DUMMYFUNCTION("""COMPUTED_VALUE"""),"A travel-associated surveillance strategy in which individuals are selected if they have a travel history outside of the reporting country in a specified number of days before onset of symptoms.")</f>
        <v>A travel-associated surveillance strategy in which individuals are selected if they have a travel history outside of the reporting country in a specified number of days before onset of symptoms.</v>
      </c>
      <c r="H845" s="55" t="s">
        <v>19</v>
      </c>
      <c r="I845" s="55" t="s">
        <v>19</v>
      </c>
      <c r="J845" s="55" t="s">
        <v>19</v>
      </c>
      <c r="K845" s="55" t="str">
        <f t="shared" si="57"/>
        <v>International</v>
      </c>
      <c r="M845" s="40"/>
    </row>
    <row r="846" hidden="1">
      <c r="A846" s="34"/>
      <c r="B846" s="53" t="str">
        <f>IFERROR(__xludf.DUMMYFUNCTION("""COMPUTED_VALUE"""),"Cluster/Outbreak investigation [GENEPIO:0100019]                    ")</f>
        <v>Cluster/Outbreak investigation [GENEPIO:0100019]                    </v>
      </c>
      <c r="C846" s="34" t="str">
        <f>IFERROR(__xludf.DUMMYFUNCTION("""COMPUTED_VALUE"""),"GENEPIO:0100019")</f>
        <v>GENEPIO:0100019</v>
      </c>
      <c r="D846" s="29" t="str">
        <f>IFERROR(__xludf.DUMMYFUNCTION("""COMPUTED_VALUE"""),"A sampling strategy in which individuals are chosen for investigation into a disease cluster or outbreak.")</f>
        <v>A sampling strategy in which individuals are chosen for investigation into a disease cluster or outbreak.</v>
      </c>
      <c r="H846" s="55" t="s">
        <v>19</v>
      </c>
      <c r="I846" s="55" t="s">
        <v>19</v>
      </c>
      <c r="J846" s="55" t="s">
        <v>19</v>
      </c>
      <c r="K846" s="55" t="str">
        <f t="shared" si="57"/>
        <v>International</v>
      </c>
      <c r="M846" s="40"/>
    </row>
    <row r="847" hidden="1">
      <c r="A847" s="34"/>
      <c r="B847" s="53" t="str">
        <f>IFERROR(__xludf.DUMMYFUNCTION("""COMPUTED_VALUE"""),"     Multi-jurisdictional outbreak investigation [GENEPIO:0100020]               ")</f>
        <v>     Multi-jurisdictional outbreak investigation [GENEPIO:0100020]               </v>
      </c>
      <c r="C847" s="34" t="str">
        <f>IFERROR(__xludf.DUMMYFUNCTION("""COMPUTED_VALUE"""),"GENEPIO:0100020")</f>
        <v>GENEPIO:0100020</v>
      </c>
      <c r="D847" s="29" t="str">
        <f>IFERROR(__xludf.DUMMYFUNCTION("""COMPUTED_VALUE"""),"An outbreak investigation sampling strategy in which individuals are chosen for investigation into a disease outbreak that has connections to two or more jurisdictions.")</f>
        <v>An outbreak investigation sampling strategy in which individuals are chosen for investigation into a disease outbreak that has connections to two or more jurisdictions.</v>
      </c>
      <c r="H847" s="55" t="s">
        <v>19</v>
      </c>
      <c r="I847" s="55" t="s">
        <v>19</v>
      </c>
      <c r="J847" s="55" t="s">
        <v>19</v>
      </c>
      <c r="K847" s="55" t="str">
        <f t="shared" si="57"/>
        <v>International</v>
      </c>
      <c r="M847" s="40"/>
    </row>
    <row r="848" hidden="1">
      <c r="A848" s="34"/>
      <c r="B848" s="53" t="str">
        <f>IFERROR(__xludf.DUMMYFUNCTION("""COMPUTED_VALUE"""),"     Intra-jurisdictional outbreak investigation [GENEPIO:0100021]               ")</f>
        <v>     Intra-jurisdictional outbreak investigation [GENEPIO:0100021]               </v>
      </c>
      <c r="C848" s="34" t="str">
        <f>IFERROR(__xludf.DUMMYFUNCTION("""COMPUTED_VALUE"""),"GENEPIO:0100021")</f>
        <v>GENEPIO:0100021</v>
      </c>
      <c r="D848" s="29" t="str">
        <f>IFERROR(__xludf.DUMMYFUNCTION("""COMPUTED_VALUE"""),"An outbreak investigation sampling strategy in which individuals are chosen for investigation into a disease outbreak that only has connections within a single jurisdiction.")</f>
        <v>An outbreak investigation sampling strategy in which individuals are chosen for investigation into a disease outbreak that only has connections within a single jurisdiction.</v>
      </c>
      <c r="H848" s="55" t="s">
        <v>19</v>
      </c>
      <c r="I848" s="55" t="s">
        <v>19</v>
      </c>
      <c r="J848" s="55" t="s">
        <v>19</v>
      </c>
      <c r="K848" s="55" t="str">
        <f t="shared" si="57"/>
        <v>International</v>
      </c>
      <c r="M848" s="40"/>
    </row>
    <row r="849" hidden="1">
      <c r="A849" s="34"/>
      <c r="B849" s="53" t="str">
        <f>IFERROR(__xludf.DUMMYFUNCTION("""COMPUTED_VALUE"""),"Research [GENEPIO:0100022]                    ")</f>
        <v>Research [GENEPIO:0100022]                    </v>
      </c>
      <c r="C849" s="34" t="str">
        <f>IFERROR(__xludf.DUMMYFUNCTION("""COMPUTED_VALUE"""),"GENEPIO:0100022")</f>
        <v>GENEPIO:0100022</v>
      </c>
      <c r="D849" s="29" t="str">
        <f>IFERROR(__xludf.DUMMYFUNCTION("""COMPUTED_VALUE"""),"A sampling strategy in which individuals are sampled in order to perform research.")</f>
        <v>A sampling strategy in which individuals are sampled in order to perform research.</v>
      </c>
      <c r="H849" s="55" t="s">
        <v>19</v>
      </c>
      <c r="I849" s="55" t="s">
        <v>19</v>
      </c>
      <c r="J849" s="55" t="s">
        <v>19</v>
      </c>
      <c r="K849" s="55" t="str">
        <f t="shared" si="57"/>
        <v>International</v>
      </c>
      <c r="M849" s="40"/>
    </row>
    <row r="850" hidden="1">
      <c r="A850" s="34"/>
      <c r="B850" s="53" t="str">
        <f>IFERROR(__xludf.DUMMYFUNCTION("""COMPUTED_VALUE"""),"     Viral passage experiment [GENEPIO:0100023]               ")</f>
        <v>     Viral passage experiment [GENEPIO:0100023]               </v>
      </c>
      <c r="C850" s="34" t="str">
        <f>IFERROR(__xludf.DUMMYFUNCTION("""COMPUTED_VALUE"""),"GENEPIO:0100023")</f>
        <v>GENEPIO:0100023</v>
      </c>
      <c r="D850" s="29" t="str">
        <f>IFERROR(__xludf.DUMMYFUNCTION("""COMPUTED_VALUE"""),"A research sampling strategy in which individuals are sampled in order to perform a viral passage experiment.")</f>
        <v>A research sampling strategy in which individuals are sampled in order to perform a viral passage experiment.</v>
      </c>
      <c r="H850" s="55" t="s">
        <v>19</v>
      </c>
      <c r="I850" s="55" t="s">
        <v>19</v>
      </c>
      <c r="J850" s="55" t="s">
        <v>19</v>
      </c>
      <c r="K850" s="55" t="str">
        <f t="shared" si="57"/>
        <v>International</v>
      </c>
      <c r="M850" s="40"/>
    </row>
    <row r="851" hidden="1">
      <c r="A851" s="34"/>
      <c r="B851" s="53" t="str">
        <f>IFERROR(__xludf.DUMMYFUNCTION("""COMPUTED_VALUE"""),"     Protocol testing experiment [GENEPIO:0100024]               ")</f>
        <v>     Protocol testing experiment [GENEPIO:0100024]               </v>
      </c>
      <c r="C851" s="34" t="str">
        <f>IFERROR(__xludf.DUMMYFUNCTION("""COMPUTED_VALUE"""),"GENEPIO:0100024")</f>
        <v>GENEPIO:0100024</v>
      </c>
      <c r="D851" s="29" t="str">
        <f>IFERROR(__xludf.DUMMYFUNCTION("""COMPUTED_VALUE"""),"A research sampling strategy in which individuals are sampled in order to perform a protocol testing experiment.")</f>
        <v>A research sampling strategy in which individuals are sampled in order to perform a protocol testing experiment.</v>
      </c>
      <c r="H851" s="55" t="s">
        <v>19</v>
      </c>
      <c r="I851" s="55" t="s">
        <v>19</v>
      </c>
      <c r="J851" s="55" t="s">
        <v>19</v>
      </c>
      <c r="K851" s="55" t="str">
        <f t="shared" si="57"/>
        <v>International</v>
      </c>
      <c r="M851" s="40"/>
    </row>
    <row r="852" hidden="1">
      <c r="A852" s="34"/>
      <c r="B852" s="53" t="str">
        <f>IFERROR(__xludf.DUMMYFUNCTION("""COMPUTED_VALUE"""),"Retrospective sequencing [GENEPIO:0100356]                    ")</f>
        <v>Retrospective sequencing [GENEPIO:0100356]                    </v>
      </c>
      <c r="C852" s="34" t="str">
        <f>IFERROR(__xludf.DUMMYFUNCTION("""COMPUTED_VALUE"""),"GENEPIO:0100356")</f>
        <v>GENEPIO:0100356</v>
      </c>
      <c r="D852" s="29" t="str">
        <f>IFERROR(__xludf.DUMMYFUNCTION("""COMPUTED_VALUE"""),"A sampling strategy in which stored samples from past events are sequenced.")</f>
        <v>A sampling strategy in which stored samples from past events are sequenced.</v>
      </c>
      <c r="H852" s="55" t="s">
        <v>19</v>
      </c>
      <c r="I852" s="55" t="s">
        <v>19</v>
      </c>
      <c r="J852" s="55" t="s">
        <v>19</v>
      </c>
      <c r="K852" s="55" t="str">
        <f t="shared" si="57"/>
        <v>International</v>
      </c>
      <c r="M852" s="40"/>
    </row>
    <row r="853">
      <c r="A853" s="34" t="str">
        <f>IFERROR(__xludf.DUMMYFUNCTION("""COMPUTED_VALUE"""),"sequencing assay type menu")</f>
        <v>sequencing assay type menu</v>
      </c>
      <c r="B853" s="53" t="str">
        <f>IFERROR(__xludf.DUMMYFUNCTION("""COMPUTED_VALUE"""),"                    ")</f>
        <v>                    </v>
      </c>
      <c r="C853" s="34"/>
      <c r="D853" s="29"/>
      <c r="E853" s="34"/>
      <c r="F853" s="34"/>
      <c r="G853" s="34"/>
      <c r="H853" s="55"/>
      <c r="I853" s="55"/>
      <c r="J853" s="55"/>
      <c r="K853" s="55" t="s">
        <v>26</v>
      </c>
      <c r="L853" s="34" t="str">
        <f>LEFT(A853, LEN(A853) - 5)
</f>
        <v>sequencing assay type</v>
      </c>
      <c r="M853" s="34" t="str">
        <f>VLOOKUP(L853,'Field Reference Guide'!$B$6:$N$220,13,false)</f>
        <v>Mpox</v>
      </c>
    </row>
    <row r="854">
      <c r="A854" s="34"/>
      <c r="B854" s="53" t="str">
        <f>IFERROR(__xludf.DUMMYFUNCTION("""COMPUTED_VALUE"""),"Amplicon sequencing assay                    ")</f>
        <v>Amplicon sequencing assay                    </v>
      </c>
      <c r="C854" s="34" t="str">
        <f>IFERROR(__xludf.DUMMYFUNCTION("""COMPUTED_VALUE"""),"OBI:0002767")</f>
        <v>OBI:0002767</v>
      </c>
      <c r="D854" s="29" t="str">
        <f>IFERROR(__xludf.DUMMYFUNCTION("""COMPUTED_VALUE"""),"A sequencing assay in which a DNA or RNA input molecule is amplified by PCR and the product sequenced.")</f>
        <v>A sequencing assay in which a DNA or RNA input molecule is amplified by PCR and the product sequenced.</v>
      </c>
      <c r="H854" s="55" t="s">
        <v>19</v>
      </c>
      <c r="I854" s="55" t="s">
        <v>19</v>
      </c>
      <c r="J854" s="55" t="s">
        <v>19</v>
      </c>
      <c r="K854" s="55" t="str">
        <f t="shared" ref="K854:K858" si="58">K853</f>
        <v>Mpox</v>
      </c>
      <c r="M854" s="57" t="s">
        <v>26</v>
      </c>
    </row>
    <row r="855">
      <c r="A855" s="34"/>
      <c r="B855" s="53" t="str">
        <f>IFERROR(__xludf.DUMMYFUNCTION("""COMPUTED_VALUE"""),"     16S ribosomal gene sequencing assay               ")</f>
        <v>     16S ribosomal gene sequencing assay               </v>
      </c>
      <c r="C855" s="34" t="str">
        <f>IFERROR(__xludf.DUMMYFUNCTION("""COMPUTED_VALUE"""),"OBI:0002763")</f>
        <v>OBI:0002763</v>
      </c>
      <c r="D855" s="29" t="str">
        <f>IFERROR(__xludf.DUMMYFUNCTION("""COMPUTED_VALUE"""),"An amplicon sequencing assay in which the amplicon is derived from universal primers used to amplify the 16S ribosomal RNA gene from isolate bacterial genomic DNA or metagenomic DNA from a microbioal community.")</f>
        <v>An amplicon sequencing assay in which the amplicon is derived from universal primers used to amplify the 16S ribosomal RNA gene from isolate bacterial genomic DNA or metagenomic DNA from a microbioal community.</v>
      </c>
      <c r="H855" s="55" t="s">
        <v>19</v>
      </c>
      <c r="I855" s="55" t="s">
        <v>19</v>
      </c>
      <c r="J855" s="55" t="s">
        <v>19</v>
      </c>
      <c r="K855" s="55" t="str">
        <f t="shared" si="58"/>
        <v>Mpox</v>
      </c>
      <c r="M855" s="40"/>
    </row>
    <row r="856">
      <c r="A856" s="34"/>
      <c r="B856" s="53" t="str">
        <f>IFERROR(__xludf.DUMMYFUNCTION("""COMPUTED_VALUE"""),"Whole genome sequencing assay                    ")</f>
        <v>Whole genome sequencing assay                    </v>
      </c>
      <c r="C856" s="34" t="str">
        <f>IFERROR(__xludf.DUMMYFUNCTION("""COMPUTED_VALUE"""),"OBI:0002117")</f>
        <v>OBI:0002117</v>
      </c>
      <c r="D856" s="29"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H856" s="55" t="s">
        <v>19</v>
      </c>
      <c r="I856" s="55" t="s">
        <v>19</v>
      </c>
      <c r="J856" s="55" t="s">
        <v>19</v>
      </c>
      <c r="K856" s="55" t="str">
        <f t="shared" si="58"/>
        <v>Mpox</v>
      </c>
      <c r="M856" s="40"/>
    </row>
    <row r="857">
      <c r="A857" s="34"/>
      <c r="B857" s="53" t="str">
        <f>IFERROR(__xludf.DUMMYFUNCTION("""COMPUTED_VALUE"""),"Whole metagenome sequencing assay                    ")</f>
        <v>Whole metagenome sequencing assay                    </v>
      </c>
      <c r="C857" s="34" t="str">
        <f>IFERROR(__xludf.DUMMYFUNCTION("""COMPUTED_VALUE"""),"OBI:0002623")</f>
        <v>OBI:0002623</v>
      </c>
      <c r="D857" s="29"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H857" s="55" t="s">
        <v>19</v>
      </c>
      <c r="I857" s="55" t="s">
        <v>19</v>
      </c>
      <c r="J857" s="55" t="s">
        <v>19</v>
      </c>
      <c r="K857" s="55" t="str">
        <f t="shared" si="58"/>
        <v>Mpox</v>
      </c>
      <c r="M857" s="40"/>
    </row>
    <row r="858">
      <c r="A858" s="34"/>
      <c r="B858" s="53" t="str">
        <f>IFERROR(__xludf.DUMMYFUNCTION("""COMPUTED_VALUE"""),"     Whole virome sequencing assay               ")</f>
        <v>     Whole virome sequencing assay               </v>
      </c>
      <c r="C858" s="34" t="str">
        <f>IFERROR(__xludf.DUMMYFUNCTION("""COMPUTED_VALUE"""),"OBI:0002768")</f>
        <v>OBI:0002768</v>
      </c>
      <c r="D858" s="29"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H858" s="55" t="s">
        <v>19</v>
      </c>
      <c r="I858" s="55" t="s">
        <v>19</v>
      </c>
      <c r="J858" s="55" t="s">
        <v>19</v>
      </c>
      <c r="K858" s="55" t="str">
        <f t="shared" si="58"/>
        <v>Mpox</v>
      </c>
      <c r="M858" s="40"/>
    </row>
    <row r="859" hidden="1">
      <c r="A859" s="34" t="str">
        <f>IFERROR(__xludf.DUMMYFUNCTION("""COMPUTED_VALUE"""),"sequencing assay type international menu")</f>
        <v>sequencing assay type international menu</v>
      </c>
      <c r="B859" s="53" t="str">
        <f>IFERROR(__xludf.DUMMYFUNCTION("""COMPUTED_VALUE"""),"                    ")</f>
        <v>                    </v>
      </c>
      <c r="C859" s="34"/>
      <c r="D859" s="29"/>
      <c r="E859" s="34"/>
      <c r="F859" s="34"/>
      <c r="G859" s="34"/>
      <c r="H859" s="55"/>
      <c r="I859" s="55"/>
      <c r="J859" s="55"/>
      <c r="K859" s="59" t="s">
        <v>27</v>
      </c>
      <c r="L859" s="34" t="str">
        <f>LEFT(A859, LEN(A859) - 5)
</f>
        <v>sequencing assay type international</v>
      </c>
      <c r="M859" s="34" t="str">
        <f>VLOOKUP(L859,'Field Reference Guide'!$B$6:$N$220,13,false)</f>
        <v>#N/A</v>
      </c>
    </row>
    <row r="860" hidden="1">
      <c r="A860" s="34"/>
      <c r="B860" s="53" t="str">
        <f>IFERROR(__xludf.DUMMYFUNCTION("""COMPUTED_VALUE"""),"Amplicon sequencing assay [OBI:0002767]                    ")</f>
        <v>Amplicon sequencing assay [OBI:0002767]                    </v>
      </c>
      <c r="C860" s="34" t="str">
        <f>IFERROR(__xludf.DUMMYFUNCTION("""COMPUTED_VALUE"""),"OBI:0002767")</f>
        <v>OBI:0002767</v>
      </c>
      <c r="D860" s="29" t="str">
        <f>IFERROR(__xludf.DUMMYFUNCTION("""COMPUTED_VALUE"""),"A sequencing assay in which a DNA or RNA input molecule is amplified by PCR and the product sequenced.")</f>
        <v>A sequencing assay in which a DNA or RNA input molecule is amplified by PCR and the product sequenced.</v>
      </c>
      <c r="H860" s="55" t="s">
        <v>19</v>
      </c>
      <c r="I860" s="55" t="s">
        <v>19</v>
      </c>
      <c r="J860" s="55" t="s">
        <v>19</v>
      </c>
      <c r="K860" s="55" t="str">
        <f t="shared" ref="K860:K865" si="59">K859</f>
        <v>International</v>
      </c>
      <c r="M860" s="57" t="s">
        <v>28</v>
      </c>
    </row>
    <row r="861" hidden="1">
      <c r="A861" s="34"/>
      <c r="B861" s="53" t="str">
        <f>IFERROR(__xludf.DUMMYFUNCTION("""COMPUTED_VALUE"""),"     16S ribosomal gene sequencing assay [OBI:0002763]               ")</f>
        <v>     16S ribosomal gene sequencing assay [OBI:0002763]               </v>
      </c>
      <c r="C861" s="34" t="str">
        <f>IFERROR(__xludf.DUMMYFUNCTION("""COMPUTED_VALUE"""),"OBI:0002763")</f>
        <v>OBI:0002763</v>
      </c>
      <c r="D861" s="29" t="str">
        <f>IFERROR(__xludf.DUMMYFUNCTION("""COMPUTED_VALUE"""),"An amplicon sequencing assay in which the amplicon is derived from universal primers used to amplify the 16S ribosomal RNA gene from isolate bacterial genomic DNA or metagenomic DNA from a microbioal community.")</f>
        <v>An amplicon sequencing assay in which the amplicon is derived from universal primers used to amplify the 16S ribosomal RNA gene from isolate bacterial genomic DNA or metagenomic DNA from a microbioal community.</v>
      </c>
      <c r="H861" s="55" t="s">
        <v>19</v>
      </c>
      <c r="I861" s="55" t="s">
        <v>19</v>
      </c>
      <c r="J861" s="55" t="s">
        <v>19</v>
      </c>
      <c r="K861" s="55" t="str">
        <f t="shared" si="59"/>
        <v>International</v>
      </c>
      <c r="M861" s="40"/>
    </row>
    <row r="862" hidden="1">
      <c r="A862" s="34"/>
      <c r="B862" s="53" t="str">
        <f>IFERROR(__xludf.DUMMYFUNCTION("""COMPUTED_VALUE"""),"Whole genome sequencing assay [OBI:0002117]                    ")</f>
        <v>Whole genome sequencing assay [OBI:0002117]                    </v>
      </c>
      <c r="C862" s="34" t="str">
        <f>IFERROR(__xludf.DUMMYFUNCTION("""COMPUTED_VALUE"""),"OBI:0002117")</f>
        <v>OBI:0002117</v>
      </c>
      <c r="D862" s="29" t="str">
        <f>IFERROR(__xludf.DUMMYFUNCTION("""COMPUTED_VALUE"""),"A DNA sequencing assay that intends to provide information about the sequence of an entire genome of an organism.")</f>
        <v>A DNA sequencing assay that intends to provide information about the sequence of an entire genome of an organism.</v>
      </c>
      <c r="H862" s="55" t="s">
        <v>19</v>
      </c>
      <c r="I862" s="55" t="s">
        <v>19</v>
      </c>
      <c r="J862" s="55" t="s">
        <v>19</v>
      </c>
      <c r="K862" s="55" t="str">
        <f t="shared" si="59"/>
        <v>International</v>
      </c>
      <c r="M862" s="40"/>
    </row>
    <row r="863" hidden="1">
      <c r="A863" s="34"/>
      <c r="B863" s="53" t="str">
        <f>IFERROR(__xludf.DUMMYFUNCTION("""COMPUTED_VALUE"""),"Whole metagenome sequencing assay [OBI:0002623]                    ")</f>
        <v>Whole metagenome sequencing assay [OBI:0002623]                    </v>
      </c>
      <c r="C863" s="34" t="str">
        <f>IFERROR(__xludf.DUMMYFUNCTION("""COMPUTED_VALUE"""),"OBI:0002623")</f>
        <v>OBI:0002623</v>
      </c>
      <c r="D863" s="29" t="str">
        <f>IFERROR(__xludf.DUMMYFUNCTION("""COMPUTED_VALUE"""),"A DNA sequencing assay that intends to provide information on the DNA sequences of multiple genomes (a metagenome) from different organisms present in the same input sample.")</f>
        <v>A DNA sequencing assay that intends to provide information on the DNA sequences of multiple genomes (a metagenome) from different organisms present in the same input sample.</v>
      </c>
      <c r="H863" s="55" t="s">
        <v>19</v>
      </c>
      <c r="I863" s="55" t="s">
        <v>19</v>
      </c>
      <c r="J863" s="55" t="s">
        <v>19</v>
      </c>
      <c r="K863" s="55" t="str">
        <f t="shared" si="59"/>
        <v>International</v>
      </c>
      <c r="M863" s="40"/>
    </row>
    <row r="864" hidden="1">
      <c r="A864" s="34"/>
      <c r="B864" s="53" t="str">
        <f>IFERROR(__xludf.DUMMYFUNCTION("""COMPUTED_VALUE"""),"     Whole virome sequencing assay [OBI:0002768]               ")</f>
        <v>     Whole virome sequencing assay [OBI:0002768]               </v>
      </c>
      <c r="C864" s="34" t="str">
        <f>IFERROR(__xludf.DUMMYFUNCTION("""COMPUTED_VALUE"""),"OBI:0002768")</f>
        <v>OBI:0002768</v>
      </c>
      <c r="D864" s="29" t="str">
        <f>IFERROR(__xludf.DUMMYFUNCTION("""COMPUTED_VALUE"""),"A whole metagenome sequencing assay that intends to provide information on multiple genome sequences from different viruses present in the same input sample.")</f>
        <v>A whole metagenome sequencing assay that intends to provide information on multiple genome sequences from different viruses present in the same input sample.</v>
      </c>
      <c r="H864" s="55" t="s">
        <v>19</v>
      </c>
      <c r="I864" s="55" t="s">
        <v>19</v>
      </c>
      <c r="J864" s="55" t="s">
        <v>19</v>
      </c>
      <c r="K864" s="55" t="str">
        <f t="shared" si="59"/>
        <v>International</v>
      </c>
      <c r="M864" s="40"/>
    </row>
    <row r="865" hidden="1">
      <c r="A865" s="34"/>
      <c r="B865" s="53" t="str">
        <f>IFERROR(__xludf.DUMMYFUNCTION("""COMPUTED_VALUE"""),"                    ")</f>
        <v>                    </v>
      </c>
      <c r="C865" s="34"/>
      <c r="D865" s="29"/>
      <c r="H865" s="55" t="s">
        <v>19</v>
      </c>
      <c r="I865" s="55" t="s">
        <v>19</v>
      </c>
      <c r="J865" s="55" t="s">
        <v>19</v>
      </c>
      <c r="K865" s="55" t="str">
        <f t="shared" si="59"/>
        <v>International</v>
      </c>
      <c r="M865" s="58"/>
    </row>
    <row r="866">
      <c r="A866" s="34" t="str">
        <f>IFERROR(__xludf.DUMMYFUNCTION("""COMPUTED_VALUE"""),"sequencing instrument menu")</f>
        <v>sequencing instrument menu</v>
      </c>
      <c r="B866" s="53" t="str">
        <f>IFERROR(__xludf.DUMMYFUNCTION("""COMPUTED_VALUE"""),"                    ")</f>
        <v>                    </v>
      </c>
      <c r="C866" s="34"/>
      <c r="D866" s="29" t="str">
        <f>IFERROR(__xludf.DUMMYFUNCTION("""COMPUTED_VALUE"""),"")</f>
        <v/>
      </c>
      <c r="E866" s="34"/>
      <c r="F866" s="34"/>
      <c r="G866" s="34"/>
      <c r="H866" s="55"/>
      <c r="I866" s="55"/>
      <c r="J866" s="55"/>
      <c r="K866" s="55" t="s">
        <v>26</v>
      </c>
      <c r="L866" s="34" t="str">
        <f>LEFT(A866, LEN(A866) - 5)
</f>
        <v>sequencing instrument</v>
      </c>
      <c r="M866" s="34" t="str">
        <f>VLOOKUP(L866,'Field Reference Guide'!$B$6:$N$220,13,false)</f>
        <v>Mpox</v>
      </c>
    </row>
    <row r="867">
      <c r="A867" s="34"/>
      <c r="B867" s="53" t="str">
        <f>IFERROR(__xludf.DUMMYFUNCTION("""COMPUTED_VALUE"""),"Illumina                    ")</f>
        <v>Illumina                    </v>
      </c>
      <c r="C867" s="34" t="str">
        <f>IFERROR(__xludf.DUMMYFUNCTION("""COMPUTED_VALUE"""),"GENEPIO:0100105")</f>
        <v>GENEPIO:0100105</v>
      </c>
      <c r="D867" s="29" t="str">
        <f>IFERROR(__xludf.DUMMYFUNCTION("""COMPUTED_VALUE"""),"A DNA sequencer manufactured by the Illumina corporation.")</f>
        <v>A DNA sequencer manufactured by the Illumina corporation.</v>
      </c>
      <c r="H867" s="55" t="s">
        <v>19</v>
      </c>
      <c r="I867" s="55" t="s">
        <v>19</v>
      </c>
      <c r="J867" s="55" t="s">
        <v>19</v>
      </c>
      <c r="K867" s="55" t="str">
        <f t="shared" ref="K867:K914" si="60">K866</f>
        <v>Mpox</v>
      </c>
      <c r="M867" s="57" t="s">
        <v>26</v>
      </c>
    </row>
    <row r="868">
      <c r="A868" s="34"/>
      <c r="B868" s="53" t="str">
        <f>IFERROR(__xludf.DUMMYFUNCTION("""COMPUTED_VALUE"""),"     Illumina Genome Analyzer               ")</f>
        <v>     Illumina Genome Analyzer               </v>
      </c>
      <c r="C868" s="34" t="str">
        <f>IFERROR(__xludf.DUMMYFUNCTION("""COMPUTED_VALUE"""),"OBI:0002128")</f>
        <v>OBI:0002128</v>
      </c>
      <c r="D868"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H868" s="55" t="s">
        <v>19</v>
      </c>
      <c r="I868" s="55" t="s">
        <v>19</v>
      </c>
      <c r="J868" s="55" t="s">
        <v>19</v>
      </c>
      <c r="K868" s="55" t="str">
        <f t="shared" si="60"/>
        <v>Mpox</v>
      </c>
      <c r="M868" s="40"/>
    </row>
    <row r="869">
      <c r="A869" s="34"/>
      <c r="B869" s="53" t="str">
        <f>IFERROR(__xludf.DUMMYFUNCTION("""COMPUTED_VALUE"""),"          Illumina Genome Analyzer II          ")</f>
        <v>          Illumina Genome Analyzer II          </v>
      </c>
      <c r="C869" s="34" t="str">
        <f>IFERROR(__xludf.DUMMYFUNCTION("""COMPUTED_VALUE"""),"OBI:0000703")</f>
        <v>OBI:0000703</v>
      </c>
      <c r="D869"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H869" s="55" t="s">
        <v>19</v>
      </c>
      <c r="I869" s="55" t="s">
        <v>19</v>
      </c>
      <c r="J869" s="55" t="s">
        <v>19</v>
      </c>
      <c r="K869" s="55" t="str">
        <f t="shared" si="60"/>
        <v>Mpox</v>
      </c>
      <c r="M869" s="40"/>
    </row>
    <row r="870">
      <c r="A870" s="34"/>
      <c r="B870" s="53" t="str">
        <f>IFERROR(__xludf.DUMMYFUNCTION("""COMPUTED_VALUE"""),"          Illumina Genome Analyzer IIx          ")</f>
        <v>          Illumina Genome Analyzer IIx          </v>
      </c>
      <c r="C870" s="34" t="str">
        <f>IFERROR(__xludf.DUMMYFUNCTION("""COMPUTED_VALUE"""),"OBI:0002000")</f>
        <v>OBI:0002000</v>
      </c>
      <c r="D870"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H870" s="55" t="s">
        <v>19</v>
      </c>
      <c r="I870" s="55" t="s">
        <v>19</v>
      </c>
      <c r="J870" s="55" t="s">
        <v>19</v>
      </c>
      <c r="K870" s="55" t="str">
        <f t="shared" si="60"/>
        <v>Mpox</v>
      </c>
      <c r="M870" s="40"/>
    </row>
    <row r="871">
      <c r="A871" s="34"/>
      <c r="B871" s="53" t="str">
        <f>IFERROR(__xludf.DUMMYFUNCTION("""COMPUTED_VALUE"""),"     Illumina HiScanSQ               ")</f>
        <v>     Illumina HiScanSQ               </v>
      </c>
      <c r="C871" s="34" t="str">
        <f>IFERROR(__xludf.DUMMYFUNCTION("""COMPUTED_VALUE"""),"GENEPIO:0100109")</f>
        <v>GENEPIO:0100109</v>
      </c>
      <c r="D871"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H871" s="55" t="s">
        <v>19</v>
      </c>
      <c r="I871" s="55" t="s">
        <v>19</v>
      </c>
      <c r="J871" s="55" t="s">
        <v>19</v>
      </c>
      <c r="K871" s="55" t="str">
        <f t="shared" si="60"/>
        <v>Mpox</v>
      </c>
      <c r="M871" s="40"/>
    </row>
    <row r="872">
      <c r="A872" s="34"/>
      <c r="B872" s="53" t="str">
        <f>IFERROR(__xludf.DUMMYFUNCTION("""COMPUTED_VALUE"""),"     Illumina HiSeq               ")</f>
        <v>     Illumina HiSeq               </v>
      </c>
      <c r="C872" s="34" t="str">
        <f>IFERROR(__xludf.DUMMYFUNCTION("""COMPUTED_VALUE"""),"GENEPIO:0100110")</f>
        <v>GENEPIO:0100110</v>
      </c>
      <c r="D872"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H872" s="55" t="s">
        <v>19</v>
      </c>
      <c r="I872" s="55" t="s">
        <v>19</v>
      </c>
      <c r="J872" s="55" t="s">
        <v>19</v>
      </c>
      <c r="K872" s="55" t="str">
        <f t="shared" si="60"/>
        <v>Mpox</v>
      </c>
      <c r="M872" s="40"/>
    </row>
    <row r="873">
      <c r="A873" s="34"/>
      <c r="B873" s="53" t="str">
        <f>IFERROR(__xludf.DUMMYFUNCTION("""COMPUTED_VALUE"""),"          Illumina HiSeq X          ")</f>
        <v>          Illumina HiSeq X          </v>
      </c>
      <c r="C873" s="34" t="str">
        <f>IFERROR(__xludf.DUMMYFUNCTION("""COMPUTED_VALUE"""),"GENEPIO:0100111")</f>
        <v>GENEPIO:0100111</v>
      </c>
      <c r="D873"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H873" s="55" t="s">
        <v>19</v>
      </c>
      <c r="I873" s="55" t="s">
        <v>19</v>
      </c>
      <c r="J873" s="55" t="s">
        <v>19</v>
      </c>
      <c r="K873" s="55" t="str">
        <f t="shared" si="60"/>
        <v>Mpox</v>
      </c>
      <c r="M873" s="40"/>
    </row>
    <row r="874">
      <c r="A874" s="34"/>
      <c r="B874" s="53" t="str">
        <f>IFERROR(__xludf.DUMMYFUNCTION("""COMPUTED_VALUE"""),"               Illumina HiSeq X Five     ")</f>
        <v>               Illumina HiSeq X Five     </v>
      </c>
      <c r="C874" s="34" t="str">
        <f>IFERROR(__xludf.DUMMYFUNCTION("""COMPUTED_VALUE"""),"GENEPIO:0100112")</f>
        <v>GENEPIO:0100112</v>
      </c>
      <c r="D874"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H874" s="55" t="s">
        <v>19</v>
      </c>
      <c r="I874" s="55" t="s">
        <v>19</v>
      </c>
      <c r="J874" s="55" t="s">
        <v>19</v>
      </c>
      <c r="K874" s="55" t="str">
        <f t="shared" si="60"/>
        <v>Mpox</v>
      </c>
      <c r="M874" s="40"/>
    </row>
    <row r="875">
      <c r="A875" s="34"/>
      <c r="B875" s="53" t="str">
        <f>IFERROR(__xludf.DUMMYFUNCTION("""COMPUTED_VALUE"""),"               Illumina HiSeq X Ten     ")</f>
        <v>               Illumina HiSeq X Ten     </v>
      </c>
      <c r="C875" s="34" t="str">
        <f>IFERROR(__xludf.DUMMYFUNCTION("""COMPUTED_VALUE"""),"OBI:0002129")</f>
        <v>OBI:0002129</v>
      </c>
      <c r="D875" s="29" t="str">
        <f>IFERROR(__xludf.DUMMYFUNCTION("""COMPUTED_VALUE"""),"A DNA sequencer that consists of a set of 10 HiSeq X Sequencing Systems.")</f>
        <v>A DNA sequencer that consists of a set of 10 HiSeq X Sequencing Systems.</v>
      </c>
      <c r="H875" s="55" t="s">
        <v>19</v>
      </c>
      <c r="I875" s="55" t="s">
        <v>19</v>
      </c>
      <c r="J875" s="55" t="s">
        <v>19</v>
      </c>
      <c r="K875" s="55" t="str">
        <f t="shared" si="60"/>
        <v>Mpox</v>
      </c>
      <c r="M875" s="40"/>
    </row>
    <row r="876">
      <c r="A876" s="34"/>
      <c r="B876" s="53" t="str">
        <f>IFERROR(__xludf.DUMMYFUNCTION("""COMPUTED_VALUE"""),"          Illumina HiSeq 1000          ")</f>
        <v>          Illumina HiSeq 1000          </v>
      </c>
      <c r="C876" s="34" t="str">
        <f>IFERROR(__xludf.DUMMYFUNCTION("""COMPUTED_VALUE"""),"OBI:0002022")</f>
        <v>OBI:0002022</v>
      </c>
      <c r="D876"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H876" s="55" t="s">
        <v>19</v>
      </c>
      <c r="I876" s="55" t="s">
        <v>19</v>
      </c>
      <c r="J876" s="55" t="s">
        <v>19</v>
      </c>
      <c r="K876" s="55" t="str">
        <f t="shared" si="60"/>
        <v>Mpox</v>
      </c>
      <c r="M876" s="40"/>
    </row>
    <row r="877">
      <c r="A877" s="34"/>
      <c r="B877" s="53" t="str">
        <f>IFERROR(__xludf.DUMMYFUNCTION("""COMPUTED_VALUE"""),"          Illumina HiSeq 1500          ")</f>
        <v>          Illumina HiSeq 1500          </v>
      </c>
      <c r="C877" s="34" t="str">
        <f>IFERROR(__xludf.DUMMYFUNCTION("""COMPUTED_VALUE"""),"OBI:0003386")</f>
        <v>OBI:0003386</v>
      </c>
      <c r="D877"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H877" s="55" t="s">
        <v>19</v>
      </c>
      <c r="I877" s="55" t="s">
        <v>19</v>
      </c>
      <c r="J877" s="55" t="s">
        <v>19</v>
      </c>
      <c r="K877" s="55" t="str">
        <f t="shared" si="60"/>
        <v>Mpox</v>
      </c>
      <c r="M877" s="40"/>
    </row>
    <row r="878">
      <c r="A878" s="34"/>
      <c r="B878" s="53" t="str">
        <f>IFERROR(__xludf.DUMMYFUNCTION("""COMPUTED_VALUE"""),"          Illumina HiSeq 2000          ")</f>
        <v>          Illumina HiSeq 2000          </v>
      </c>
      <c r="C878" s="34" t="str">
        <f>IFERROR(__xludf.DUMMYFUNCTION("""COMPUTED_VALUE"""),"OBI:0002001")</f>
        <v>OBI:0002001</v>
      </c>
      <c r="D878"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H878" s="55" t="s">
        <v>19</v>
      </c>
      <c r="I878" s="55" t="s">
        <v>19</v>
      </c>
      <c r="J878" s="55" t="s">
        <v>19</v>
      </c>
      <c r="K878" s="55" t="str">
        <f t="shared" si="60"/>
        <v>Mpox</v>
      </c>
      <c r="M878" s="40"/>
    </row>
    <row r="879">
      <c r="A879" s="34"/>
      <c r="B879" s="53" t="str">
        <f>IFERROR(__xludf.DUMMYFUNCTION("""COMPUTED_VALUE"""),"          Illumina HiSeq 2500          ")</f>
        <v>          Illumina HiSeq 2500          </v>
      </c>
      <c r="C879" s="34" t="str">
        <f>IFERROR(__xludf.DUMMYFUNCTION("""COMPUTED_VALUE"""),"OBI:0002002")</f>
        <v>OBI:0002002</v>
      </c>
      <c r="D879"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H879" s="55" t="s">
        <v>19</v>
      </c>
      <c r="I879" s="55" t="s">
        <v>19</v>
      </c>
      <c r="J879" s="55" t="s">
        <v>19</v>
      </c>
      <c r="K879" s="55" t="str">
        <f t="shared" si="60"/>
        <v>Mpox</v>
      </c>
      <c r="M879" s="40"/>
    </row>
    <row r="880">
      <c r="A880" s="34"/>
      <c r="B880" s="53" t="str">
        <f>IFERROR(__xludf.DUMMYFUNCTION("""COMPUTED_VALUE"""),"          Illumina HiSeq 3000          ")</f>
        <v>          Illumina HiSeq 3000          </v>
      </c>
      <c r="C880" s="34" t="str">
        <f>IFERROR(__xludf.DUMMYFUNCTION("""COMPUTED_VALUE"""),"OBI:0002048")</f>
        <v>OBI:0002048</v>
      </c>
      <c r="D880"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H880" s="55" t="s">
        <v>19</v>
      </c>
      <c r="I880" s="55" t="s">
        <v>19</v>
      </c>
      <c r="J880" s="55" t="s">
        <v>19</v>
      </c>
      <c r="K880" s="55" t="str">
        <f t="shared" si="60"/>
        <v>Mpox</v>
      </c>
      <c r="M880" s="40"/>
    </row>
    <row r="881">
      <c r="A881" s="34"/>
      <c r="B881" s="53" t="str">
        <f>IFERROR(__xludf.DUMMYFUNCTION("""COMPUTED_VALUE"""),"          Illumina HiSeq 4000          ")</f>
        <v>          Illumina HiSeq 4000          </v>
      </c>
      <c r="C881" s="34" t="str">
        <f>IFERROR(__xludf.DUMMYFUNCTION("""COMPUTED_VALUE"""),"OBI:0002049")</f>
        <v>OBI:0002049</v>
      </c>
      <c r="D881"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H881" s="55" t="s">
        <v>19</v>
      </c>
      <c r="I881" s="55" t="s">
        <v>19</v>
      </c>
      <c r="J881" s="55" t="s">
        <v>19</v>
      </c>
      <c r="K881" s="55" t="str">
        <f t="shared" si="60"/>
        <v>Mpox</v>
      </c>
      <c r="M881" s="40"/>
    </row>
    <row r="882">
      <c r="A882" s="34"/>
      <c r="B882" s="53" t="str">
        <f>IFERROR(__xludf.DUMMYFUNCTION("""COMPUTED_VALUE"""),"     Illumina iSeq               ")</f>
        <v>     Illumina iSeq               </v>
      </c>
      <c r="C882" s="34" t="str">
        <f>IFERROR(__xludf.DUMMYFUNCTION("""COMPUTED_VALUE"""),"GENEPIO:0100120")</f>
        <v>GENEPIO:0100120</v>
      </c>
      <c r="D882"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H882" s="55" t="s">
        <v>19</v>
      </c>
      <c r="I882" s="55" t="s">
        <v>19</v>
      </c>
      <c r="J882" s="55" t="s">
        <v>19</v>
      </c>
      <c r="K882" s="55" t="str">
        <f t="shared" si="60"/>
        <v>Mpox</v>
      </c>
      <c r="M882" s="40"/>
    </row>
    <row r="883">
      <c r="A883" s="34"/>
      <c r="B883" s="53" t="str">
        <f>IFERROR(__xludf.DUMMYFUNCTION("""COMPUTED_VALUE"""),"          Illumina iSeq 100          ")</f>
        <v>          Illumina iSeq 100          </v>
      </c>
      <c r="C883" s="34" t="str">
        <f>IFERROR(__xludf.DUMMYFUNCTION("""COMPUTED_VALUE"""),"GENEPIO:0100121")</f>
        <v>GENEPIO:0100121</v>
      </c>
      <c r="D883"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H883" s="55" t="s">
        <v>19</v>
      </c>
      <c r="I883" s="55" t="s">
        <v>19</v>
      </c>
      <c r="J883" s="55" t="s">
        <v>19</v>
      </c>
      <c r="K883" s="55" t="str">
        <f t="shared" si="60"/>
        <v>Mpox</v>
      </c>
      <c r="M883" s="40"/>
    </row>
    <row r="884">
      <c r="A884" s="34"/>
      <c r="B884" s="53" t="str">
        <f>IFERROR(__xludf.DUMMYFUNCTION("""COMPUTED_VALUE"""),"     Illumina NovaSeq               ")</f>
        <v>     Illumina NovaSeq               </v>
      </c>
      <c r="C884" s="34" t="str">
        <f>IFERROR(__xludf.DUMMYFUNCTION("""COMPUTED_VALUE"""),"GENEPIO:0100122")</f>
        <v>GENEPIO:0100122</v>
      </c>
      <c r="D884"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H884" s="55" t="s">
        <v>19</v>
      </c>
      <c r="I884" s="55" t="s">
        <v>19</v>
      </c>
      <c r="J884" s="55" t="s">
        <v>19</v>
      </c>
      <c r="K884" s="55" t="str">
        <f t="shared" si="60"/>
        <v>Mpox</v>
      </c>
      <c r="M884" s="40"/>
    </row>
    <row r="885">
      <c r="A885" s="34"/>
      <c r="B885" s="53" t="str">
        <f>IFERROR(__xludf.DUMMYFUNCTION("""COMPUTED_VALUE"""),"          Illumina NovaSeq 6000          ")</f>
        <v>          Illumina NovaSeq 6000          </v>
      </c>
      <c r="C885" s="34" t="str">
        <f>IFERROR(__xludf.DUMMYFUNCTION("""COMPUTED_VALUE"""),"OBI:0002630")</f>
        <v>OBI:0002630</v>
      </c>
      <c r="D885"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H885" s="55" t="s">
        <v>19</v>
      </c>
      <c r="I885" s="55" t="s">
        <v>19</v>
      </c>
      <c r="J885" s="55" t="s">
        <v>19</v>
      </c>
      <c r="K885" s="55" t="str">
        <f t="shared" si="60"/>
        <v>Mpox</v>
      </c>
      <c r="M885" s="40"/>
    </row>
    <row r="886">
      <c r="A886" s="34"/>
      <c r="B886" s="53" t="str">
        <f>IFERROR(__xludf.DUMMYFUNCTION("""COMPUTED_VALUE"""),"     Illumina MiniSeq               ")</f>
        <v>     Illumina MiniSeq               </v>
      </c>
      <c r="C886" s="34" t="str">
        <f>IFERROR(__xludf.DUMMYFUNCTION("""COMPUTED_VALUE"""),"OBI:0003114")</f>
        <v>OBI:0003114</v>
      </c>
      <c r="D886"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H886" s="55" t="s">
        <v>19</v>
      </c>
      <c r="I886" s="55" t="s">
        <v>19</v>
      </c>
      <c r="J886" s="55" t="s">
        <v>19</v>
      </c>
      <c r="K886" s="55" t="str">
        <f t="shared" si="60"/>
        <v>Mpox</v>
      </c>
      <c r="M886" s="40"/>
    </row>
    <row r="887">
      <c r="A887" s="34"/>
      <c r="B887" s="53" t="str">
        <f>IFERROR(__xludf.DUMMYFUNCTION("""COMPUTED_VALUE"""),"     Illumina MiSeq               ")</f>
        <v>     Illumina MiSeq               </v>
      </c>
      <c r="C887" s="34" t="str">
        <f>IFERROR(__xludf.DUMMYFUNCTION("""COMPUTED_VALUE"""),"OBI:0002003")</f>
        <v>OBI:0002003</v>
      </c>
      <c r="D887"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H887" s="55" t="s">
        <v>19</v>
      </c>
      <c r="I887" s="55" t="s">
        <v>19</v>
      </c>
      <c r="J887" s="55" t="s">
        <v>19</v>
      </c>
      <c r="K887" s="55" t="str">
        <f t="shared" si="60"/>
        <v>Mpox</v>
      </c>
      <c r="M887" s="40"/>
    </row>
    <row r="888">
      <c r="A888" s="34"/>
      <c r="B888" s="53" t="str">
        <f>IFERROR(__xludf.DUMMYFUNCTION("""COMPUTED_VALUE"""),"     Illumina NextSeq               ")</f>
        <v>     Illumina NextSeq               </v>
      </c>
      <c r="C888" s="34" t="str">
        <f>IFERROR(__xludf.DUMMYFUNCTION("""COMPUTED_VALUE"""),"GENEPIO:0100126")</f>
        <v>GENEPIO:0100126</v>
      </c>
      <c r="D888"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H888" s="55" t="s">
        <v>19</v>
      </c>
      <c r="I888" s="55" t="s">
        <v>19</v>
      </c>
      <c r="J888" s="55" t="s">
        <v>19</v>
      </c>
      <c r="K888" s="55" t="str">
        <f t="shared" si="60"/>
        <v>Mpox</v>
      </c>
      <c r="M888" s="40"/>
    </row>
    <row r="889">
      <c r="A889" s="34"/>
      <c r="B889" s="53" t="str">
        <f>IFERROR(__xludf.DUMMYFUNCTION("""COMPUTED_VALUE"""),"          Illumina NextSeq 500          ")</f>
        <v>          Illumina NextSeq 500          </v>
      </c>
      <c r="C889" s="34" t="str">
        <f>IFERROR(__xludf.DUMMYFUNCTION("""COMPUTED_VALUE"""),"OBI:0002021")</f>
        <v>OBI:0002021</v>
      </c>
      <c r="D889"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H889" s="55" t="s">
        <v>19</v>
      </c>
      <c r="I889" s="55" t="s">
        <v>19</v>
      </c>
      <c r="J889" s="55" t="s">
        <v>19</v>
      </c>
      <c r="K889" s="55" t="str">
        <f t="shared" si="60"/>
        <v>Mpox</v>
      </c>
      <c r="M889" s="40"/>
    </row>
    <row r="890">
      <c r="A890" s="34"/>
      <c r="B890" s="53" t="str">
        <f>IFERROR(__xludf.DUMMYFUNCTION("""COMPUTED_VALUE"""),"          Illumina NextSeq 550          ")</f>
        <v>          Illumina NextSeq 550          </v>
      </c>
      <c r="C890" s="34" t="str">
        <f>IFERROR(__xludf.DUMMYFUNCTION("""COMPUTED_VALUE"""),"GENEPIO:0100128")</f>
        <v>GENEPIO:0100128</v>
      </c>
      <c r="D890"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H890" s="55" t="s">
        <v>19</v>
      </c>
      <c r="I890" s="55" t="s">
        <v>19</v>
      </c>
      <c r="J890" s="55" t="s">
        <v>19</v>
      </c>
      <c r="K890" s="55" t="str">
        <f t="shared" si="60"/>
        <v>Mpox</v>
      </c>
      <c r="M890" s="40"/>
    </row>
    <row r="891">
      <c r="A891" s="34"/>
      <c r="B891" s="53" t="str">
        <f>IFERROR(__xludf.DUMMYFUNCTION("""COMPUTED_VALUE"""),"          Illumina NextSeq 1000          ")</f>
        <v>          Illumina NextSeq 1000          </v>
      </c>
      <c r="C891" s="34" t="str">
        <f>IFERROR(__xludf.DUMMYFUNCTION("""COMPUTED_VALUE"""),"OBI:0003606")</f>
        <v>OBI:0003606</v>
      </c>
      <c r="D891"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H891" s="55" t="s">
        <v>19</v>
      </c>
      <c r="I891" s="55" t="s">
        <v>19</v>
      </c>
      <c r="J891" s="55" t="s">
        <v>19</v>
      </c>
      <c r="K891" s="55" t="str">
        <f t="shared" si="60"/>
        <v>Mpox</v>
      </c>
      <c r="M891" s="40"/>
    </row>
    <row r="892">
      <c r="A892" s="29"/>
      <c r="B892" s="53" t="str">
        <f>IFERROR(__xludf.DUMMYFUNCTION("""COMPUTED_VALUE"""),"          Illumina NextSeq 2000          ")</f>
        <v>          Illumina NextSeq 2000          </v>
      </c>
      <c r="C892" s="29" t="str">
        <f>IFERROR(__xludf.DUMMYFUNCTION("""COMPUTED_VALUE"""),"GENEPIO:0100129")</f>
        <v>GENEPIO:0100129</v>
      </c>
      <c r="D892"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892" s="29"/>
      <c r="F892" s="29"/>
      <c r="G892" s="29"/>
      <c r="H892" s="29"/>
      <c r="I892" s="29"/>
      <c r="J892" s="29"/>
      <c r="K892" s="55" t="str">
        <f t="shared" si="60"/>
        <v>Mpox</v>
      </c>
      <c r="M892" s="40"/>
    </row>
    <row r="893">
      <c r="A893" s="29"/>
      <c r="B893" s="53" t="str">
        <f>IFERROR(__xludf.DUMMYFUNCTION("""COMPUTED_VALUE"""),"Pacific Biosciences                    ")</f>
        <v>Pacific Biosciences                    </v>
      </c>
      <c r="C893" s="29" t="str">
        <f>IFERROR(__xludf.DUMMYFUNCTION("""COMPUTED_VALUE"""),"GENEPIO:0100130")</f>
        <v>GENEPIO:0100130</v>
      </c>
      <c r="D893" s="29" t="str">
        <f>IFERROR(__xludf.DUMMYFUNCTION("""COMPUTED_VALUE"""),"A DNA sequencer manufactured by the Pacific Biosciences corporation.")</f>
        <v>A DNA sequencer manufactured by the Pacific Biosciences corporation.</v>
      </c>
      <c r="E893" s="29"/>
      <c r="F893" s="29"/>
      <c r="G893" s="29"/>
      <c r="H893" s="56" t="s">
        <v>19</v>
      </c>
      <c r="I893" s="56" t="s">
        <v>19</v>
      </c>
      <c r="J893" s="56" t="s">
        <v>19</v>
      </c>
      <c r="K893" s="55" t="str">
        <f t="shared" si="60"/>
        <v>Mpox</v>
      </c>
      <c r="M893" s="40"/>
    </row>
    <row r="894">
      <c r="A894" s="29"/>
      <c r="B894" s="53" t="str">
        <f>IFERROR(__xludf.DUMMYFUNCTION("""COMPUTED_VALUE"""),"     PacBio RS               ")</f>
        <v>     PacBio RS               </v>
      </c>
      <c r="C894" s="29" t="str">
        <f>IFERROR(__xludf.DUMMYFUNCTION("""COMPUTED_VALUE"""),"GENEPIO:0100131")</f>
        <v>GENEPIO:0100131</v>
      </c>
      <c r="D894"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E894" s="29"/>
      <c r="F894" s="29"/>
      <c r="G894" s="29"/>
      <c r="H894" s="56" t="s">
        <v>19</v>
      </c>
      <c r="I894" s="56" t="s">
        <v>19</v>
      </c>
      <c r="J894" s="56" t="s">
        <v>19</v>
      </c>
      <c r="K894" s="55" t="str">
        <f t="shared" si="60"/>
        <v>Mpox</v>
      </c>
      <c r="M894" s="40"/>
    </row>
    <row r="895">
      <c r="A895" s="29"/>
      <c r="B895" s="53" t="str">
        <f>IFERROR(__xludf.DUMMYFUNCTION("""COMPUTED_VALUE"""),"     PacBio RS II               ")</f>
        <v>     PacBio RS II               </v>
      </c>
      <c r="C895" s="29" t="str">
        <f>IFERROR(__xludf.DUMMYFUNCTION("""COMPUTED_VALUE"""),"OBI:0002012")</f>
        <v>OBI:0002012</v>
      </c>
      <c r="D895"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E895" s="29"/>
      <c r="F895" s="29"/>
      <c r="G895" s="29"/>
      <c r="H895" s="56" t="s">
        <v>19</v>
      </c>
      <c r="I895" s="56" t="s">
        <v>19</v>
      </c>
      <c r="J895" s="56" t="s">
        <v>19</v>
      </c>
      <c r="K895" s="55" t="str">
        <f t="shared" si="60"/>
        <v>Mpox</v>
      </c>
      <c r="M895" s="40"/>
    </row>
    <row r="896">
      <c r="A896" s="29"/>
      <c r="B896" s="53" t="str">
        <f>IFERROR(__xludf.DUMMYFUNCTION("""COMPUTED_VALUE"""),"     PacBio Sequel               ")</f>
        <v>     PacBio Sequel               </v>
      </c>
      <c r="C896" s="29" t="str">
        <f>IFERROR(__xludf.DUMMYFUNCTION("""COMPUTED_VALUE"""),"OBI:0002632")</f>
        <v>OBI:0002632</v>
      </c>
      <c r="D896"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E896" s="29"/>
      <c r="F896" s="29"/>
      <c r="G896" s="29"/>
      <c r="H896" s="56" t="s">
        <v>19</v>
      </c>
      <c r="I896" s="56" t="s">
        <v>19</v>
      </c>
      <c r="J896" s="56" t="s">
        <v>19</v>
      </c>
      <c r="K896" s="55" t="str">
        <f t="shared" si="60"/>
        <v>Mpox</v>
      </c>
      <c r="M896" s="40"/>
    </row>
    <row r="897">
      <c r="A897" s="29"/>
      <c r="B897" s="53" t="str">
        <f>IFERROR(__xludf.DUMMYFUNCTION("""COMPUTED_VALUE"""),"     PacBio Sequel II               ")</f>
        <v>     PacBio Sequel II               </v>
      </c>
      <c r="C897" s="29" t="str">
        <f>IFERROR(__xludf.DUMMYFUNCTION("""COMPUTED_VALUE"""),"OBI:0002633")</f>
        <v>OBI:0002633</v>
      </c>
      <c r="D897"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E897" s="29"/>
      <c r="F897" s="29"/>
      <c r="G897" s="29"/>
      <c r="H897" s="56" t="s">
        <v>19</v>
      </c>
      <c r="I897" s="56" t="s">
        <v>19</v>
      </c>
      <c r="J897" s="56" t="s">
        <v>19</v>
      </c>
      <c r="K897" s="55" t="str">
        <f t="shared" si="60"/>
        <v>Mpox</v>
      </c>
      <c r="M897" s="40"/>
    </row>
    <row r="898">
      <c r="A898" s="29"/>
      <c r="B898" s="53" t="str">
        <f>IFERROR(__xludf.DUMMYFUNCTION("""COMPUTED_VALUE"""),"Ion Torrent                    ")</f>
        <v>Ion Torrent                    </v>
      </c>
      <c r="C898" s="29" t="str">
        <f>IFERROR(__xludf.DUMMYFUNCTION("""COMPUTED_VALUE"""),"GENEPIO:0100135")</f>
        <v>GENEPIO:0100135</v>
      </c>
      <c r="D898" s="29" t="str">
        <f>IFERROR(__xludf.DUMMYFUNCTION("""COMPUTED_VALUE"""),"A DNA sequencer manufactured by the Ion Torrent corporation.")</f>
        <v>A DNA sequencer manufactured by the Ion Torrent corporation.</v>
      </c>
      <c r="E898" s="29"/>
      <c r="F898" s="29"/>
      <c r="G898" s="29"/>
      <c r="H898" s="56" t="s">
        <v>19</v>
      </c>
      <c r="I898" s="56" t="s">
        <v>19</v>
      </c>
      <c r="J898" s="56" t="s">
        <v>19</v>
      </c>
      <c r="K898" s="55" t="str">
        <f t="shared" si="60"/>
        <v>Mpox</v>
      </c>
      <c r="M898" s="40"/>
    </row>
    <row r="899">
      <c r="A899" s="29"/>
      <c r="B899" s="53" t="str">
        <f>IFERROR(__xludf.DUMMYFUNCTION("""COMPUTED_VALUE"""),"     Ion Torrent PGM               ")</f>
        <v>     Ion Torrent PGM               </v>
      </c>
      <c r="C899" s="29" t="str">
        <f>IFERROR(__xludf.DUMMYFUNCTION("""COMPUTED_VALUE"""),"GENEPIO:0100136")</f>
        <v>GENEPIO:0100136</v>
      </c>
      <c r="D899"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E899" s="29"/>
      <c r="F899" s="29"/>
      <c r="G899" s="29"/>
      <c r="H899" s="56" t="s">
        <v>19</v>
      </c>
      <c r="I899" s="56" t="s">
        <v>19</v>
      </c>
      <c r="J899" s="56" t="s">
        <v>19</v>
      </c>
      <c r="K899" s="55" t="str">
        <f t="shared" si="60"/>
        <v>Mpox</v>
      </c>
      <c r="M899" s="40"/>
    </row>
    <row r="900">
      <c r="A900" s="29"/>
      <c r="B900" s="53" t="str">
        <f>IFERROR(__xludf.DUMMYFUNCTION("""COMPUTED_VALUE"""),"     Ion Torrent Proton               ")</f>
        <v>     Ion Torrent Proton               </v>
      </c>
      <c r="C900" s="29" t="str">
        <f>IFERROR(__xludf.DUMMYFUNCTION("""COMPUTED_VALUE"""),"GENEPIO:0100137")</f>
        <v>GENEPIO:0100137</v>
      </c>
      <c r="D900"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E900" s="29"/>
      <c r="F900" s="29"/>
      <c r="G900" s="29"/>
      <c r="H900" s="56" t="s">
        <v>19</v>
      </c>
      <c r="I900" s="56" t="s">
        <v>19</v>
      </c>
      <c r="J900" s="56" t="s">
        <v>19</v>
      </c>
      <c r="K900" s="55" t="str">
        <f t="shared" si="60"/>
        <v>Mpox</v>
      </c>
      <c r="M900" s="40"/>
    </row>
    <row r="901">
      <c r="A901" s="29"/>
      <c r="B901" s="53" t="str">
        <f>IFERROR(__xludf.DUMMYFUNCTION("""COMPUTED_VALUE"""),"     Ion Torrent S5 XL               ")</f>
        <v>     Ion Torrent S5 XL               </v>
      </c>
      <c r="C901" s="29" t="str">
        <f>IFERROR(__xludf.DUMMYFUNCTION("""COMPUTED_VALUE"""),"GENEPIO:0100138")</f>
        <v>GENEPIO:0100138</v>
      </c>
      <c r="D901"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E901" s="29"/>
      <c r="F901" s="29"/>
      <c r="G901" s="29"/>
      <c r="H901" s="56" t="s">
        <v>19</v>
      </c>
      <c r="I901" s="56" t="s">
        <v>19</v>
      </c>
      <c r="J901" s="56" t="s">
        <v>19</v>
      </c>
      <c r="K901" s="55" t="str">
        <f t="shared" si="60"/>
        <v>Mpox</v>
      </c>
      <c r="M901" s="40"/>
    </row>
    <row r="902">
      <c r="A902" s="29"/>
      <c r="B902" s="53" t="str">
        <f>IFERROR(__xludf.DUMMYFUNCTION("""COMPUTED_VALUE"""),"     Ion Torrent S5               ")</f>
        <v>     Ion Torrent S5               </v>
      </c>
      <c r="C902" s="29" t="str">
        <f>IFERROR(__xludf.DUMMYFUNCTION("""COMPUTED_VALUE"""),"GENEPIO:0100139")</f>
        <v>GENEPIO:0100139</v>
      </c>
      <c r="D902"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E902" s="29"/>
      <c r="F902" s="29"/>
      <c r="G902" s="29"/>
      <c r="H902" s="56" t="s">
        <v>19</v>
      </c>
      <c r="I902" s="56" t="s">
        <v>19</v>
      </c>
      <c r="J902" s="56" t="s">
        <v>19</v>
      </c>
      <c r="K902" s="55" t="str">
        <f t="shared" si="60"/>
        <v>Mpox</v>
      </c>
      <c r="M902" s="40"/>
    </row>
    <row r="903">
      <c r="A903" s="29"/>
      <c r="B903" s="53" t="str">
        <f>IFERROR(__xludf.DUMMYFUNCTION("""COMPUTED_VALUE"""),"Oxford Nanopore                    ")</f>
        <v>Oxford Nanopore                    </v>
      </c>
      <c r="C903" s="29" t="str">
        <f>IFERROR(__xludf.DUMMYFUNCTION("""COMPUTED_VALUE"""),"GENEPIO:0100140")</f>
        <v>GENEPIO:0100140</v>
      </c>
      <c r="D903" s="29" t="str">
        <f>IFERROR(__xludf.DUMMYFUNCTION("""COMPUTED_VALUE"""),"A DNA sequencer manufactured by the Oxford Nanopore corporation.")</f>
        <v>A DNA sequencer manufactured by the Oxford Nanopore corporation.</v>
      </c>
      <c r="E903" s="29"/>
      <c r="F903" s="29"/>
      <c r="G903" s="29"/>
      <c r="H903" s="56" t="s">
        <v>19</v>
      </c>
      <c r="I903" s="56" t="s">
        <v>19</v>
      </c>
      <c r="J903" s="56" t="s">
        <v>19</v>
      </c>
      <c r="K903" s="55" t="str">
        <f t="shared" si="60"/>
        <v>Mpox</v>
      </c>
      <c r="M903" s="40"/>
    </row>
    <row r="904">
      <c r="A904" s="29"/>
      <c r="B904" s="53" t="str">
        <f>IFERROR(__xludf.DUMMYFUNCTION("""COMPUTED_VALUE"""),"     Oxford Nanopore Flongle               ")</f>
        <v>     Oxford Nanopore Flongle               </v>
      </c>
      <c r="C904" s="29" t="str">
        <f>IFERROR(__xludf.DUMMYFUNCTION("""COMPUTED_VALUE"""),"GENEPIO:0004433")</f>
        <v>GENEPIO:0004433</v>
      </c>
      <c r="D904"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E904" s="29"/>
      <c r="F904" s="29"/>
      <c r="G904" s="29"/>
      <c r="H904" s="56" t="s">
        <v>19</v>
      </c>
      <c r="I904" s="56" t="s">
        <v>19</v>
      </c>
      <c r="J904" s="56" t="s">
        <v>19</v>
      </c>
      <c r="K904" s="55" t="str">
        <f t="shared" si="60"/>
        <v>Mpox</v>
      </c>
      <c r="M904" s="40"/>
    </row>
    <row r="905">
      <c r="A905" s="29"/>
      <c r="B905" s="53" t="str">
        <f>IFERROR(__xludf.DUMMYFUNCTION("""COMPUTED_VALUE"""),"     Oxford Nanopore GridION               ")</f>
        <v>     Oxford Nanopore GridION               </v>
      </c>
      <c r="C905" s="29" t="str">
        <f>IFERROR(__xludf.DUMMYFUNCTION("""COMPUTED_VALUE"""),"GENEPIO:0100141")</f>
        <v>GENEPIO:0100141</v>
      </c>
      <c r="D905"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E905" s="29"/>
      <c r="F905" s="29"/>
      <c r="G905" s="29"/>
      <c r="H905" s="56" t="s">
        <v>19</v>
      </c>
      <c r="I905" s="56" t="s">
        <v>19</v>
      </c>
      <c r="J905" s="56" t="s">
        <v>19</v>
      </c>
      <c r="K905" s="55" t="str">
        <f t="shared" si="60"/>
        <v>Mpox</v>
      </c>
      <c r="M905" s="40"/>
    </row>
    <row r="906">
      <c r="A906" s="29"/>
      <c r="B906" s="53" t="str">
        <f>IFERROR(__xludf.DUMMYFUNCTION("""COMPUTED_VALUE"""),"     Oxford Nanopore MinION               ")</f>
        <v>     Oxford Nanopore MinION               </v>
      </c>
      <c r="C906" s="29" t="str">
        <f>IFERROR(__xludf.DUMMYFUNCTION("""COMPUTED_VALUE"""),"OBI:0002750")</f>
        <v>OBI:0002750</v>
      </c>
      <c r="D906"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E906" s="29"/>
      <c r="F906" s="29"/>
      <c r="G906" s="29"/>
      <c r="H906" s="56" t="s">
        <v>19</v>
      </c>
      <c r="I906" s="56" t="s">
        <v>19</v>
      </c>
      <c r="J906" s="56" t="s">
        <v>19</v>
      </c>
      <c r="K906" s="55" t="str">
        <f t="shared" si="60"/>
        <v>Mpox</v>
      </c>
      <c r="M906" s="40"/>
    </row>
    <row r="907">
      <c r="A907" s="29"/>
      <c r="B907" s="53" t="str">
        <f>IFERROR(__xludf.DUMMYFUNCTION("""COMPUTED_VALUE"""),"     Oxford Nanopore PromethION               ")</f>
        <v>     Oxford Nanopore PromethION               </v>
      </c>
      <c r="C907" s="29" t="str">
        <f>IFERROR(__xludf.DUMMYFUNCTION("""COMPUTED_VALUE"""),"OBI:0002752")</f>
        <v>OBI:0002752</v>
      </c>
      <c r="D907"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E907" s="29"/>
      <c r="F907" s="29"/>
      <c r="G907" s="29"/>
      <c r="H907" s="56" t="s">
        <v>19</v>
      </c>
      <c r="I907" s="56" t="s">
        <v>19</v>
      </c>
      <c r="J907" s="56" t="s">
        <v>19</v>
      </c>
      <c r="K907" s="55" t="str">
        <f t="shared" si="60"/>
        <v>Mpox</v>
      </c>
      <c r="M907" s="40"/>
    </row>
    <row r="908">
      <c r="A908" s="29"/>
      <c r="B908" s="53" t="str">
        <f>IFERROR(__xludf.DUMMYFUNCTION("""COMPUTED_VALUE"""),"BGI Genomics                    ")</f>
        <v>BGI Genomics                    </v>
      </c>
      <c r="C908" s="29" t="str">
        <f>IFERROR(__xludf.DUMMYFUNCTION("""COMPUTED_VALUE"""),"GENEPIO:0100144")</f>
        <v>GENEPIO:0100144</v>
      </c>
      <c r="D908" s="29" t="str">
        <f>IFERROR(__xludf.DUMMYFUNCTION("""COMPUTED_VALUE"""),"A DNA sequencer manufactured by the BGI Genomics corporation.")</f>
        <v>A DNA sequencer manufactured by the BGI Genomics corporation.</v>
      </c>
      <c r="E908" s="29"/>
      <c r="F908" s="29"/>
      <c r="G908" s="29"/>
      <c r="H908" s="56" t="s">
        <v>19</v>
      </c>
      <c r="I908" s="56" t="s">
        <v>19</v>
      </c>
      <c r="J908" s="56" t="s">
        <v>19</v>
      </c>
      <c r="K908" s="55" t="str">
        <f t="shared" si="60"/>
        <v>Mpox</v>
      </c>
      <c r="M908" s="40"/>
    </row>
    <row r="909">
      <c r="A909" s="29"/>
      <c r="B909" s="53" t="str">
        <f>IFERROR(__xludf.DUMMYFUNCTION("""COMPUTED_VALUE"""),"     BGI Genomics BGISEQ-500               ")</f>
        <v>     BGI Genomics BGISEQ-500               </v>
      </c>
      <c r="C909" s="29" t="str">
        <f>IFERROR(__xludf.DUMMYFUNCTION("""COMPUTED_VALUE"""),"GENEPIO:0100145")</f>
        <v>GENEPIO:0100145</v>
      </c>
      <c r="D909"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E909" s="29"/>
      <c r="F909" s="29"/>
      <c r="G909" s="29"/>
      <c r="H909" s="56" t="s">
        <v>19</v>
      </c>
      <c r="I909" s="56" t="s">
        <v>19</v>
      </c>
      <c r="J909" s="56" t="s">
        <v>19</v>
      </c>
      <c r="K909" s="55" t="str">
        <f t="shared" si="60"/>
        <v>Mpox</v>
      </c>
      <c r="M909" s="40"/>
    </row>
    <row r="910">
      <c r="A910" s="29"/>
      <c r="B910" s="53" t="str">
        <f>IFERROR(__xludf.DUMMYFUNCTION("""COMPUTED_VALUE"""),"MGI                    ")</f>
        <v>MGI                    </v>
      </c>
      <c r="C910" s="29" t="str">
        <f>IFERROR(__xludf.DUMMYFUNCTION("""COMPUTED_VALUE"""),"GENEPIO:0100146")</f>
        <v>GENEPIO:0100146</v>
      </c>
      <c r="D910" s="29" t="str">
        <f>IFERROR(__xludf.DUMMYFUNCTION("""COMPUTED_VALUE"""),"A DNA sequencer manufactured by the MGI corporation.")</f>
        <v>A DNA sequencer manufactured by the MGI corporation.</v>
      </c>
      <c r="E910" s="29"/>
      <c r="F910" s="29"/>
      <c r="G910" s="29"/>
      <c r="H910" s="56" t="s">
        <v>19</v>
      </c>
      <c r="I910" s="56" t="s">
        <v>19</v>
      </c>
      <c r="J910" s="56" t="s">
        <v>19</v>
      </c>
      <c r="K910" s="55" t="str">
        <f t="shared" si="60"/>
        <v>Mpox</v>
      </c>
      <c r="M910" s="40"/>
    </row>
    <row r="911">
      <c r="A911" s="29"/>
      <c r="B911" s="53" t="str">
        <f>IFERROR(__xludf.DUMMYFUNCTION("""COMPUTED_VALUE"""),"     MGI DNBSEQ-T7               ")</f>
        <v>     MGI DNBSEQ-T7               </v>
      </c>
      <c r="C911" s="29" t="str">
        <f>IFERROR(__xludf.DUMMYFUNCTION("""COMPUTED_VALUE"""),"GENEPIO:0100147")</f>
        <v>GENEPIO:0100147</v>
      </c>
      <c r="D911"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E911" s="29"/>
      <c r="F911" s="29"/>
      <c r="G911" s="29"/>
      <c r="H911" s="56" t="s">
        <v>19</v>
      </c>
      <c r="I911" s="56" t="s">
        <v>19</v>
      </c>
      <c r="J911" s="56" t="s">
        <v>19</v>
      </c>
      <c r="K911" s="55" t="str">
        <f t="shared" si="60"/>
        <v>Mpox</v>
      </c>
      <c r="M911" s="40"/>
    </row>
    <row r="912">
      <c r="A912" s="29"/>
      <c r="B912" s="53" t="str">
        <f>IFERROR(__xludf.DUMMYFUNCTION("""COMPUTED_VALUE"""),"     MGI DNBSEQ-G400               ")</f>
        <v>     MGI DNBSEQ-G400               </v>
      </c>
      <c r="C912" s="29" t="str">
        <f>IFERROR(__xludf.DUMMYFUNCTION("""COMPUTED_VALUE"""),"GENEPIO:0100148")</f>
        <v>GENEPIO:0100148</v>
      </c>
      <c r="D912" s="29" t="str">
        <f>IFERROR(__xludf.DUMMYFUNCTION("""COMPUTED_VALUE"""),"A DNA sequencer manufactured by the MGI corporation with an output capacity of 55GB~1440GB per run.")</f>
        <v>A DNA sequencer manufactured by the MGI corporation with an output capacity of 55GB~1440GB per run.</v>
      </c>
      <c r="E912" s="29"/>
      <c r="F912" s="29"/>
      <c r="G912" s="29"/>
      <c r="H912" s="56" t="s">
        <v>19</v>
      </c>
      <c r="I912" s="56" t="s">
        <v>19</v>
      </c>
      <c r="J912" s="56" t="s">
        <v>19</v>
      </c>
      <c r="K912" s="55" t="str">
        <f t="shared" si="60"/>
        <v>Mpox</v>
      </c>
      <c r="M912" s="40"/>
    </row>
    <row r="913">
      <c r="A913" s="29"/>
      <c r="B913" s="53" t="str">
        <f>IFERROR(__xludf.DUMMYFUNCTION("""COMPUTED_VALUE"""),"     MGI DNBSEQ-G400 FAST               ")</f>
        <v>     MGI DNBSEQ-G400 FAST               </v>
      </c>
      <c r="C913" s="29" t="str">
        <f>IFERROR(__xludf.DUMMYFUNCTION("""COMPUTED_VALUE"""),"GENEPIO:0100149")</f>
        <v>GENEPIO:0100149</v>
      </c>
      <c r="D913"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E913" s="29"/>
      <c r="F913" s="29"/>
      <c r="G913" s="29"/>
      <c r="H913" s="56" t="s">
        <v>19</v>
      </c>
      <c r="I913" s="56" t="s">
        <v>19</v>
      </c>
      <c r="J913" s="56" t="s">
        <v>19</v>
      </c>
      <c r="K913" s="55" t="str">
        <f t="shared" si="60"/>
        <v>Mpox</v>
      </c>
      <c r="M913" s="40"/>
    </row>
    <row r="914">
      <c r="A914" s="29"/>
      <c r="B914" s="53" t="str">
        <f>IFERROR(__xludf.DUMMYFUNCTION("""COMPUTED_VALUE"""),"     MGI DNBSEQ-G50               ")</f>
        <v>     MGI DNBSEQ-G50               </v>
      </c>
      <c r="C914" s="29" t="str">
        <f>IFERROR(__xludf.DUMMYFUNCTION("""COMPUTED_VALUE"""),"GENEPIO:0100150")</f>
        <v>GENEPIO:0100150</v>
      </c>
      <c r="D914"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E914" s="29"/>
      <c r="F914" s="29"/>
      <c r="G914" s="29"/>
      <c r="H914" s="56" t="s">
        <v>19</v>
      </c>
      <c r="I914" s="56" t="s">
        <v>19</v>
      </c>
      <c r="J914" s="56" t="s">
        <v>19</v>
      </c>
      <c r="K914" s="55" t="str">
        <f t="shared" si="60"/>
        <v>Mpox</v>
      </c>
      <c r="M914" s="40"/>
    </row>
    <row r="915" hidden="1">
      <c r="A915" s="29" t="str">
        <f>IFERROR(__xludf.DUMMYFUNCTION("""COMPUTED_VALUE"""),"sequencing instrument international menu")</f>
        <v>sequencing instrument international menu</v>
      </c>
      <c r="B915" s="53" t="str">
        <f>IFERROR(__xludf.DUMMYFUNCTION("""COMPUTED_VALUE"""),"                    ")</f>
        <v>                    </v>
      </c>
      <c r="C915" s="29"/>
      <c r="D915" s="29" t="str">
        <f>IFERROR(__xludf.DUMMYFUNCTION("""COMPUTED_VALUE"""),"")</f>
        <v/>
      </c>
      <c r="E915" s="29"/>
      <c r="F915" s="29"/>
      <c r="G915" s="29"/>
      <c r="H915" s="56"/>
      <c r="I915" s="56"/>
      <c r="J915" s="56"/>
      <c r="K915" s="59" t="s">
        <v>27</v>
      </c>
      <c r="L915" s="34" t="str">
        <f>LEFT(A915, LEN(A915) - 5)
</f>
        <v>sequencing instrument international</v>
      </c>
      <c r="M915" s="34" t="str">
        <f>VLOOKUP(L915,'Field Reference Guide'!$B$6:$N$220,13,false)</f>
        <v>#N/A</v>
      </c>
    </row>
    <row r="916" hidden="1">
      <c r="A916" s="29"/>
      <c r="B916" s="53" t="str">
        <f>IFERROR(__xludf.DUMMYFUNCTION("""COMPUTED_VALUE"""),"Illumina [GENEPIO:0100105]                    ")</f>
        <v>Illumina [GENEPIO:0100105]                    </v>
      </c>
      <c r="C916" s="29" t="str">
        <f>IFERROR(__xludf.DUMMYFUNCTION("""COMPUTED_VALUE"""),"GENEPIO:0100105")</f>
        <v>GENEPIO:0100105</v>
      </c>
      <c r="D916" s="29" t="str">
        <f>IFERROR(__xludf.DUMMYFUNCTION("""COMPUTED_VALUE"""),"A DNA sequencer manufactured by the Illumina corporation.")</f>
        <v>A DNA sequencer manufactured by the Illumina corporation.</v>
      </c>
      <c r="E916" s="29"/>
      <c r="F916" s="29"/>
      <c r="G916" s="29"/>
      <c r="H916" s="56" t="s">
        <v>19</v>
      </c>
      <c r="I916" s="56" t="s">
        <v>19</v>
      </c>
      <c r="J916" s="56" t="s">
        <v>19</v>
      </c>
      <c r="K916" s="55" t="str">
        <f t="shared" ref="K916:K963" si="61">K915</f>
        <v>International</v>
      </c>
      <c r="M916" s="57" t="s">
        <v>28</v>
      </c>
    </row>
    <row r="917" hidden="1">
      <c r="A917" s="29"/>
      <c r="B917" s="53" t="str">
        <f>IFERROR(__xludf.DUMMYFUNCTION("""COMPUTED_VALUE"""),"     Illumina Genome Analyzer [OBI:0002128]               ")</f>
        <v>     Illumina Genome Analyzer [OBI:0002128]               </v>
      </c>
      <c r="C917" s="29" t="str">
        <f>IFERROR(__xludf.DUMMYFUNCTION("""COMPUTED_VALUE"""),"OBI:0002128")</f>
        <v>OBI:0002128</v>
      </c>
      <c r="D917" s="29" t="str">
        <f>IFERROR(__xludf.DUMMYFUNCTION("""COMPUTED_VALUE"""),"A DNA sequencer manufactured by Solexa as one of its first sequencer lines, launched in 2006, and capable of sequencing 1 gigabase (Gb) of data in a single run.")</f>
        <v>A DNA sequencer manufactured by Solexa as one of its first sequencer lines, launched in 2006, and capable of sequencing 1 gigabase (Gb) of data in a single run.</v>
      </c>
      <c r="E917" s="29"/>
      <c r="F917" s="29"/>
      <c r="G917" s="29"/>
      <c r="H917" s="56" t="s">
        <v>19</v>
      </c>
      <c r="I917" s="56" t="s">
        <v>19</v>
      </c>
      <c r="J917" s="56" t="s">
        <v>19</v>
      </c>
      <c r="K917" s="55" t="str">
        <f t="shared" si="61"/>
        <v>International</v>
      </c>
      <c r="M917" s="40"/>
    </row>
    <row r="918" hidden="1">
      <c r="A918" s="29"/>
      <c r="B918" s="53" t="str">
        <f>IFERROR(__xludf.DUMMYFUNCTION("""COMPUTED_VALUE"""),"          Illumina Genome Analyzer II [OBI:0000703]          ")</f>
        <v>          Illumina Genome Analyzer II [OBI:0000703]          </v>
      </c>
      <c r="C918" s="29" t="str">
        <f>IFERROR(__xludf.DUMMYFUNCTION("""COMPUTED_VALUE"""),"OBI:0000703")</f>
        <v>OBI:0000703</v>
      </c>
      <c r="D918" s="29" t="str">
        <f>IFERROR(__xludf.DUMMYFUNCTION("""COMPUTED_VALUE"""),"A DNA sequencer which is manufactured by Illumina (Solexa) corporation. it support sequencing of single or paired end clone libraries relying on sequencing by synthesis technology")</f>
        <v>A DNA sequencer which is manufactured by Illumina (Solexa) corporation. it support sequencing of single or paired end clone libraries relying on sequencing by synthesis technology</v>
      </c>
      <c r="E918" s="29"/>
      <c r="F918" s="29"/>
      <c r="G918" s="29"/>
      <c r="H918" s="56" t="s">
        <v>19</v>
      </c>
      <c r="I918" s="56" t="s">
        <v>19</v>
      </c>
      <c r="J918" s="56" t="s">
        <v>19</v>
      </c>
      <c r="K918" s="55" t="str">
        <f t="shared" si="61"/>
        <v>International</v>
      </c>
      <c r="M918" s="40"/>
    </row>
    <row r="919" hidden="1">
      <c r="A919" s="29"/>
      <c r="B919" s="53" t="str">
        <f>IFERROR(__xludf.DUMMYFUNCTION("""COMPUTED_VALUE"""),"          Illumina Genome Analyzer IIx [OBI:0002000]          ")</f>
        <v>          Illumina Genome Analyzer IIx [OBI:0002000]          </v>
      </c>
      <c r="C919" s="29" t="str">
        <f>IFERROR(__xludf.DUMMYFUNCTION("""COMPUTED_VALUE"""),"OBI:0002000")</f>
        <v>OBI:0002000</v>
      </c>
      <c r="D919" s="29" t="str">
        <f>IFERROR(__xludf.DUMMYFUNCTION("""COMPUTED_VALUE"""),"An Illumina Genome Analyzer II which is manufactured by the Illumina corporation. It supports sequencing of single, long or short insert paired end clone libraries relying on sequencing by synthesis technology. The Genome Analyzer IIx is the most widely a"&amp;"dopted next-generation sequencing platform and proven and published across the broadest range of research applications.")</f>
        <v>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v>
      </c>
      <c r="E919" s="29"/>
      <c r="F919" s="29"/>
      <c r="G919" s="29"/>
      <c r="H919" s="56" t="s">
        <v>19</v>
      </c>
      <c r="I919" s="56" t="s">
        <v>19</v>
      </c>
      <c r="J919" s="56" t="s">
        <v>19</v>
      </c>
      <c r="K919" s="55" t="str">
        <f t="shared" si="61"/>
        <v>International</v>
      </c>
      <c r="M919" s="40"/>
    </row>
    <row r="920" hidden="1">
      <c r="A920" s="29"/>
      <c r="B920" s="53" t="str">
        <f>IFERROR(__xludf.DUMMYFUNCTION("""COMPUTED_VALUE"""),"     Illumina HiScanSQ [GENEPIO:0100109]               ")</f>
        <v>     Illumina HiScanSQ [GENEPIO:0100109]               </v>
      </c>
      <c r="C920" s="29" t="str">
        <f>IFERROR(__xludf.DUMMYFUNCTION("""COMPUTED_VALUE"""),"GENEPIO:0100109")</f>
        <v>GENEPIO:0100109</v>
      </c>
      <c r="D920" s="29" t="str">
        <f>IFERROR(__xludf.DUMMYFUNCTION("""COMPUTED_VALUE"""),"A DNA sequencer manufactured by the Illumina corporation using sequence-by-synthesis chemistry, and contains a HiScan Reader for sequencing and microarray-based analyses as well as an ""SQ Module"" to support microfluidics.")</f>
        <v>A DNA sequencer manufactured by the Illumina corporation using sequence-by-synthesis chemistry, and contains a HiScan Reader for sequencing and microarray-based analyses as well as an "SQ Module" to support microfluidics.</v>
      </c>
      <c r="E920" s="29"/>
      <c r="F920" s="29"/>
      <c r="G920" s="29"/>
      <c r="H920" s="56" t="s">
        <v>19</v>
      </c>
      <c r="I920" s="56" t="s">
        <v>19</v>
      </c>
      <c r="J920" s="56" t="s">
        <v>19</v>
      </c>
      <c r="K920" s="55" t="str">
        <f t="shared" si="61"/>
        <v>International</v>
      </c>
      <c r="M920" s="40"/>
    </row>
    <row r="921" hidden="1">
      <c r="A921" s="29"/>
      <c r="B921" s="53" t="str">
        <f>IFERROR(__xludf.DUMMYFUNCTION("""COMPUTED_VALUE"""),"     Illumina HiSeq [GENEPIO:0100110]               ")</f>
        <v>     Illumina HiSeq [GENEPIO:0100110]               </v>
      </c>
      <c r="C921" s="29" t="str">
        <f>IFERROR(__xludf.DUMMYFUNCTION("""COMPUTED_VALUE"""),"GENEPIO:0100110")</f>
        <v>GENEPIO:0100110</v>
      </c>
      <c r="D921" s="29" t="str">
        <f>IFERROR(__xludf.DUMMYFUNCTION("""COMPUTED_VALUE"""),"A DNA sequencer manufactured by the Illumina corporation using sequence-by-synthesis chemistry, enabling deep sequencing and high yield.")</f>
        <v>A DNA sequencer manufactured by the Illumina corporation using sequence-by-synthesis chemistry, enabling deep sequencing and high yield.</v>
      </c>
      <c r="E921" s="29"/>
      <c r="F921" s="29"/>
      <c r="G921" s="29"/>
      <c r="H921" s="56" t="s">
        <v>19</v>
      </c>
      <c r="I921" s="56" t="s">
        <v>19</v>
      </c>
      <c r="J921" s="56" t="s">
        <v>19</v>
      </c>
      <c r="K921" s="55" t="str">
        <f t="shared" si="61"/>
        <v>International</v>
      </c>
      <c r="M921" s="40"/>
    </row>
    <row r="922" hidden="1">
      <c r="A922" s="29"/>
      <c r="B922" s="53" t="str">
        <f>IFERROR(__xludf.DUMMYFUNCTION("""COMPUTED_VALUE"""),"          Illumina HiSeq X [GENEPIO:0100111]          ")</f>
        <v>          Illumina HiSeq X [GENEPIO:0100111]          </v>
      </c>
      <c r="C922" s="29" t="str">
        <f>IFERROR(__xludf.DUMMYFUNCTION("""COMPUTED_VALUE"""),"GENEPIO:0100111")</f>
        <v>GENEPIO:0100111</v>
      </c>
      <c r="D922" s="29" t="str">
        <f>IFERROR(__xludf.DUMMYFUNCTION("""COMPUTED_VALUE"""),"A DNA sequencer manufactured by the Illumina corporation using sequence-by-synthesis chemistry that oenabled sufficent depth and coverage to produce the first 30x human genome for $1000.")</f>
        <v>A DNA sequencer manufactured by the Illumina corporation using sequence-by-synthesis chemistry that oenabled sufficent depth and coverage to produce the first 30x human genome for $1000.</v>
      </c>
      <c r="E922" s="29"/>
      <c r="F922" s="29"/>
      <c r="G922" s="29"/>
      <c r="H922" s="56" t="s">
        <v>19</v>
      </c>
      <c r="I922" s="56" t="s">
        <v>19</v>
      </c>
      <c r="J922" s="56" t="s">
        <v>19</v>
      </c>
      <c r="K922" s="55" t="str">
        <f t="shared" si="61"/>
        <v>International</v>
      </c>
      <c r="M922" s="40"/>
    </row>
    <row r="923" hidden="1">
      <c r="A923" s="29"/>
      <c r="B923" s="53" t="str">
        <f>IFERROR(__xludf.DUMMYFUNCTION("""COMPUTED_VALUE"""),"               Illumina HiSeq X Five [GENEPIO:0100112]     ")</f>
        <v>               Illumina HiSeq X Five [GENEPIO:0100112]     </v>
      </c>
      <c r="C923" s="29" t="str">
        <f>IFERROR(__xludf.DUMMYFUNCTION("""COMPUTED_VALUE"""),"GENEPIO:0100112")</f>
        <v>GENEPIO:0100112</v>
      </c>
      <c r="D923" s="29" t="str">
        <f>IFERROR(__xludf.DUMMYFUNCTION("""COMPUTED_VALUE"""),"A DNA sequencer manufactured by the Illumina corporation using sequence-by-synthesis chemistry that consists of a set of 5 HiSeq X Sequencing Systems.")</f>
        <v>A DNA sequencer manufactured by the Illumina corporation using sequence-by-synthesis chemistry that consists of a set of 5 HiSeq X Sequencing Systems.</v>
      </c>
      <c r="E923" s="29"/>
      <c r="F923" s="29"/>
      <c r="G923" s="29"/>
      <c r="H923" s="56" t="s">
        <v>19</v>
      </c>
      <c r="I923" s="56" t="s">
        <v>19</v>
      </c>
      <c r="J923" s="56" t="s">
        <v>19</v>
      </c>
      <c r="K923" s="55" t="str">
        <f t="shared" si="61"/>
        <v>International</v>
      </c>
      <c r="M923" s="40"/>
    </row>
    <row r="924" hidden="1">
      <c r="A924" s="29"/>
      <c r="B924" s="53" t="str">
        <f>IFERROR(__xludf.DUMMYFUNCTION("""COMPUTED_VALUE"""),"               Illumina HiSeq X Ten [OBI:0002129]     ")</f>
        <v>               Illumina HiSeq X Ten [OBI:0002129]     </v>
      </c>
      <c r="C924" s="29" t="str">
        <f>IFERROR(__xludf.DUMMYFUNCTION("""COMPUTED_VALUE"""),"OBI:0002129")</f>
        <v>OBI:0002129</v>
      </c>
      <c r="D924" s="29" t="str">
        <f>IFERROR(__xludf.DUMMYFUNCTION("""COMPUTED_VALUE"""),"A DNA sequencer that consists of a set of 10 HiSeq X Sequencing Systems.")</f>
        <v>A DNA sequencer that consists of a set of 10 HiSeq X Sequencing Systems.</v>
      </c>
      <c r="E924" s="29"/>
      <c r="F924" s="29"/>
      <c r="G924" s="29"/>
      <c r="H924" s="56" t="s">
        <v>19</v>
      </c>
      <c r="I924" s="56" t="s">
        <v>19</v>
      </c>
      <c r="J924" s="56" t="s">
        <v>19</v>
      </c>
      <c r="K924" s="55" t="str">
        <f t="shared" si="61"/>
        <v>International</v>
      </c>
      <c r="M924" s="40"/>
    </row>
    <row r="925" hidden="1">
      <c r="A925" s="29"/>
      <c r="B925" s="53" t="str">
        <f>IFERROR(__xludf.DUMMYFUNCTION("""COMPUTED_VALUE"""),"          Illumina HiSeq 1000 [OBI:0002022]          ")</f>
        <v>          Illumina HiSeq 1000 [OBI:0002022]          </v>
      </c>
      <c r="C925" s="29" t="str">
        <f>IFERROR(__xludf.DUMMYFUNCTION("""COMPUTED_VALUE"""),"OBI:0002022")</f>
        <v>OBI:0002022</v>
      </c>
      <c r="D925" s="29" t="str">
        <f>IFERROR(__xludf.DUMMYFUNCTION("""COMPUTED_VALUE"""),"A DNA sequencer which is manufactured by the Illumina corporation, with a single flow cell and a throughput of up to 35 Gb per day. It supports sequencing of single, long or short insert paired end clone libraries relying on sequencing by synthesis techno"&amp;"logy.")</f>
        <v>A DNA sequencer which is manufactured by the Illumina corporation, with a single flow cell and a throughput of up to 35 Gb per day. It supports sequencing of single, long or short insert paired end clone libraries relying on sequencing by synthesis technology.</v>
      </c>
      <c r="E925" s="29"/>
      <c r="F925" s="29"/>
      <c r="G925" s="29"/>
      <c r="H925" s="56" t="s">
        <v>19</v>
      </c>
      <c r="I925" s="56" t="s">
        <v>19</v>
      </c>
      <c r="J925" s="56" t="s">
        <v>19</v>
      </c>
      <c r="K925" s="55" t="str">
        <f t="shared" si="61"/>
        <v>International</v>
      </c>
      <c r="M925" s="40"/>
    </row>
    <row r="926" hidden="1">
      <c r="A926" s="29"/>
      <c r="B926" s="53" t="str">
        <f>IFERROR(__xludf.DUMMYFUNCTION("""COMPUTED_VALUE"""),"          Illumina HiSeq 1500 [OBI:0003386]          ")</f>
        <v>          Illumina HiSeq 1500 [OBI:0003386]          </v>
      </c>
      <c r="C926" s="29" t="str">
        <f>IFERROR(__xludf.DUMMYFUNCTION("""COMPUTED_VALUE"""),"OBI:0003386")</f>
        <v>OBI:0003386</v>
      </c>
      <c r="D926" s="29" t="str">
        <f>IFERROR(__xludf.DUMMYFUNCTION("""COMPUTED_VALUE"""),"A DNA sequencer which is manufactured by the Illumina corporation, with a single flow cell. Built upon sequencing by synthesis technology, the machine employs dual surface imaging and offers two high-output options and one rapid-run option.")</f>
        <v>A DNA sequencer which is manufactured by the Illumina corporation, with a single flow cell. Built upon sequencing by synthesis technology, the machine employs dual surface imaging and offers two high-output options and one rapid-run option.</v>
      </c>
      <c r="E926" s="29"/>
      <c r="F926" s="29"/>
      <c r="G926" s="29"/>
      <c r="H926" s="56" t="s">
        <v>19</v>
      </c>
      <c r="I926" s="56" t="s">
        <v>19</v>
      </c>
      <c r="J926" s="56" t="s">
        <v>19</v>
      </c>
      <c r="K926" s="55" t="str">
        <f t="shared" si="61"/>
        <v>International</v>
      </c>
      <c r="M926" s="40"/>
    </row>
    <row r="927" hidden="1">
      <c r="A927" s="29"/>
      <c r="B927" s="53" t="str">
        <f>IFERROR(__xludf.DUMMYFUNCTION("""COMPUTED_VALUE"""),"          Illumina HiSeq 2000 [OBI:0002001]          ")</f>
        <v>          Illumina HiSeq 2000 [OBI:0002001]          </v>
      </c>
      <c r="C927" s="29" t="str">
        <f>IFERROR(__xludf.DUMMYFUNCTION("""COMPUTED_VALUE"""),"OBI:0002001")</f>
        <v>OBI:0002001</v>
      </c>
      <c r="D927" s="29" t="str">
        <f>IFERROR(__xludf.DUMMYFUNCTION("""COMPUTED_VALUE"""),"A DNA sequencer which is manufactured by the Illumina corporation, with two flow cells and a throughput of up to 55 Gb per day. Built upon sequencing by synthesis technology, the machine is optimized for generation of data for multiple samples in a single"&amp;" run.")</f>
        <v>A DNA sequencer which is manufactured by the Illumina corporation, with two flow cells and a throughput of up to 55 Gb per day. Built upon sequencing by synthesis technology, the machine is optimized for generation of data for multiple samples in a single run.</v>
      </c>
      <c r="E927" s="29"/>
      <c r="F927" s="29"/>
      <c r="G927" s="29"/>
      <c r="H927" s="56" t="s">
        <v>19</v>
      </c>
      <c r="I927" s="56" t="s">
        <v>19</v>
      </c>
      <c r="J927" s="56" t="s">
        <v>19</v>
      </c>
      <c r="K927" s="55" t="str">
        <f t="shared" si="61"/>
        <v>International</v>
      </c>
      <c r="M927" s="40"/>
    </row>
    <row r="928" hidden="1">
      <c r="A928" s="29"/>
      <c r="B928" s="53" t="str">
        <f>IFERROR(__xludf.DUMMYFUNCTION("""COMPUTED_VALUE"""),"          Illumina HiSeq 2500 [OBI:0002002]          ")</f>
        <v>          Illumina HiSeq 2500 [OBI:0002002]          </v>
      </c>
      <c r="C928" s="29" t="str">
        <f>IFERROR(__xludf.DUMMYFUNCTION("""COMPUTED_VALUE"""),"OBI:0002002")</f>
        <v>OBI:0002002</v>
      </c>
      <c r="D928" s="29" t="str">
        <f>IFERROR(__xludf.DUMMYFUNCTION("""COMPUTED_VALUE"""),"A DNA sequencer which is manufactured by the Illumina corporation, with two flow cells and a throughput of up to 160 Gb per day. Built upon sequencing by synthesis technology, the machine is optimized for generation of data for batching multiple samples o"&amp;"r rapid results on a few samples.")</f>
        <v>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v>
      </c>
      <c r="E928" s="29"/>
      <c r="F928" s="29"/>
      <c r="G928" s="29"/>
      <c r="H928" s="56" t="s">
        <v>19</v>
      </c>
      <c r="I928" s="56" t="s">
        <v>19</v>
      </c>
      <c r="J928" s="56" t="s">
        <v>19</v>
      </c>
      <c r="K928" s="55" t="str">
        <f t="shared" si="61"/>
        <v>International</v>
      </c>
      <c r="M928" s="40"/>
    </row>
    <row r="929" hidden="1">
      <c r="A929" s="29"/>
      <c r="B929" s="53" t="str">
        <f>IFERROR(__xludf.DUMMYFUNCTION("""COMPUTED_VALUE"""),"          Illumina HiSeq 3000 [OBI:0002048]          ")</f>
        <v>          Illumina HiSeq 3000 [OBI:0002048]          </v>
      </c>
      <c r="C929" s="29" t="str">
        <f>IFERROR(__xludf.DUMMYFUNCTION("""COMPUTED_VALUE"""),"OBI:0002048")</f>
        <v>OBI:0002048</v>
      </c>
      <c r="D929" s="29" t="str">
        <f>IFERROR(__xludf.DUMMYFUNCTION("""COMPUTED_VALUE"""),"A DNA sequencer manufactured by Illumina corporation, with a single flow cell and a throughput of more than 200 Gb per day.")</f>
        <v>A DNA sequencer manufactured by Illumina corporation, with a single flow cell and a throughput of more than 200 Gb per day.</v>
      </c>
      <c r="E929" s="29"/>
      <c r="F929" s="29"/>
      <c r="G929" s="29"/>
      <c r="H929" s="56" t="s">
        <v>19</v>
      </c>
      <c r="I929" s="56" t="s">
        <v>19</v>
      </c>
      <c r="J929" s="56" t="s">
        <v>19</v>
      </c>
      <c r="K929" s="55" t="str">
        <f t="shared" si="61"/>
        <v>International</v>
      </c>
      <c r="M929" s="40"/>
    </row>
    <row r="930" hidden="1">
      <c r="A930" s="29"/>
      <c r="B930" s="53" t="str">
        <f>IFERROR(__xludf.DUMMYFUNCTION("""COMPUTED_VALUE"""),"          Illumina HiSeq 4000 [OBI:0002049]          ")</f>
        <v>          Illumina HiSeq 4000 [OBI:0002049]          </v>
      </c>
      <c r="C930" s="29" t="str">
        <f>IFERROR(__xludf.DUMMYFUNCTION("""COMPUTED_VALUE"""),"OBI:0002049")</f>
        <v>OBI:0002049</v>
      </c>
      <c r="D930" s="29" t="str">
        <f>IFERROR(__xludf.DUMMYFUNCTION("""COMPUTED_VALUE"""),"A DNA sequencer manufactured by Illumina corporation, with two flow cell and a throughput of more than 400 Gb per day.")</f>
        <v>A DNA sequencer manufactured by Illumina corporation, with two flow cell and a throughput of more than 400 Gb per day.</v>
      </c>
      <c r="E930" s="29"/>
      <c r="F930" s="29"/>
      <c r="G930" s="29"/>
      <c r="H930" s="56" t="s">
        <v>19</v>
      </c>
      <c r="I930" s="56" t="s">
        <v>19</v>
      </c>
      <c r="J930" s="56" t="s">
        <v>19</v>
      </c>
      <c r="K930" s="55" t="str">
        <f t="shared" si="61"/>
        <v>International</v>
      </c>
      <c r="M930" s="40"/>
    </row>
    <row r="931" hidden="1">
      <c r="A931" s="29"/>
      <c r="B931" s="53" t="str">
        <f>IFERROR(__xludf.DUMMYFUNCTION("""COMPUTED_VALUE"""),"     Illumina iSeq [GENEPIO:0100120]               ")</f>
        <v>     Illumina iSeq [GENEPIO:0100120]               </v>
      </c>
      <c r="C931" s="29" t="str">
        <f>IFERROR(__xludf.DUMMYFUNCTION("""COMPUTED_VALUE"""),"GENEPIO:0100120")</f>
        <v>GENEPIO:0100120</v>
      </c>
      <c r="D931" s="29" t="str">
        <f>IFERROR(__xludf.DUMMYFUNCTION("""COMPUTED_VALUE"""),"A DNA sequencer manufactured by the Illumina corporation using sequence-by-synthesis chemistry that is lightweight.")</f>
        <v>A DNA sequencer manufactured by the Illumina corporation using sequence-by-synthesis chemistry that is lightweight.</v>
      </c>
      <c r="E931" s="29"/>
      <c r="F931" s="29"/>
      <c r="G931" s="29"/>
      <c r="H931" s="56" t="s">
        <v>19</v>
      </c>
      <c r="I931" s="56" t="s">
        <v>19</v>
      </c>
      <c r="J931" s="56" t="s">
        <v>19</v>
      </c>
      <c r="K931" s="55" t="str">
        <f t="shared" si="61"/>
        <v>International</v>
      </c>
      <c r="M931" s="40"/>
    </row>
    <row r="932" hidden="1">
      <c r="A932" s="29"/>
      <c r="B932" s="53" t="str">
        <f>IFERROR(__xludf.DUMMYFUNCTION("""COMPUTED_VALUE"""),"          Illumina iSeq 100 [GENEPIO:0100121]          ")</f>
        <v>          Illumina iSeq 100 [GENEPIO:0100121]          </v>
      </c>
      <c r="C932" s="29" t="str">
        <f>IFERROR(__xludf.DUMMYFUNCTION("""COMPUTED_VALUE"""),"GENEPIO:0100121")</f>
        <v>GENEPIO:0100121</v>
      </c>
      <c r="D932" s="29" t="str">
        <f>IFERROR(__xludf.DUMMYFUNCTION("""COMPUTED_VALUE"""),"A DNA sequencer manufactured by the Illumina corporation using sequence-by-synthesis chemistry that is lightweight and has an output capacity between 144MB-1.2GB.")</f>
        <v>A DNA sequencer manufactured by the Illumina corporation using sequence-by-synthesis chemistry that is lightweight and has an output capacity between 144MB-1.2GB.</v>
      </c>
      <c r="E932" s="29"/>
      <c r="F932" s="29"/>
      <c r="G932" s="29"/>
      <c r="H932" s="56" t="s">
        <v>19</v>
      </c>
      <c r="I932" s="56" t="s">
        <v>19</v>
      </c>
      <c r="J932" s="56" t="s">
        <v>19</v>
      </c>
      <c r="K932" s="55" t="str">
        <f t="shared" si="61"/>
        <v>International</v>
      </c>
      <c r="M932" s="40"/>
    </row>
    <row r="933" hidden="1">
      <c r="A933" s="29"/>
      <c r="B933" s="53" t="str">
        <f>IFERROR(__xludf.DUMMYFUNCTION("""COMPUTED_VALUE"""),"     Illumina NovaSeq [GENEPIO:0100122]               ")</f>
        <v>     Illumina NovaSeq [GENEPIO:0100122]               </v>
      </c>
      <c r="C933" s="29" t="str">
        <f>IFERROR(__xludf.DUMMYFUNCTION("""COMPUTED_VALUE"""),"GENEPIO:0100122")</f>
        <v>GENEPIO:0100122</v>
      </c>
      <c r="D933" s="29" t="str">
        <f>IFERROR(__xludf.DUMMYFUNCTION("""COMPUTED_VALUE"""),"A DNA sequencer manufactured by the Illunina corporation using sequence-by-synthesis chemistry that has an output capacirty of 6 Tb and 20 billion reads in dual flow cell mode.")</f>
        <v>A DNA sequencer manufactured by the Illunina corporation using sequence-by-synthesis chemistry that has an output capacirty of 6 Tb and 20 billion reads in dual flow cell mode.</v>
      </c>
      <c r="E933" s="29"/>
      <c r="F933" s="29"/>
      <c r="G933" s="29"/>
      <c r="H933" s="56" t="s">
        <v>19</v>
      </c>
      <c r="I933" s="56" t="s">
        <v>19</v>
      </c>
      <c r="J933" s="56" t="s">
        <v>19</v>
      </c>
      <c r="K933" s="55" t="str">
        <f t="shared" si="61"/>
        <v>International</v>
      </c>
      <c r="M933" s="40"/>
    </row>
    <row r="934" hidden="1">
      <c r="A934" s="29"/>
      <c r="B934" s="53" t="str">
        <f>IFERROR(__xludf.DUMMYFUNCTION("""COMPUTED_VALUE"""),"          Illumina NovaSeq 6000 [OBI:0002630]          ")</f>
        <v>          Illumina NovaSeq 6000 [OBI:0002630]          </v>
      </c>
      <c r="C934" s="29" t="str">
        <f>IFERROR(__xludf.DUMMYFUNCTION("""COMPUTED_VALUE"""),"OBI:0002630")</f>
        <v>OBI:0002630</v>
      </c>
      <c r="D934" s="29" t="str">
        <f>IFERROR(__xludf.DUMMYFUNCTION("""COMPUTED_VALUE"""),"A DNA sequencer which is manufactured by the Illumina corporation, with two flow cells and an output of up to 6000 Gb (32-40 B reads per run). The sequencer utilizes synthesis technology and patterned flow cells to optimize throughput and even spacing of "&amp;"sequencing clusters.")</f>
        <v>A DNA sequencer which is manufactured by the Illumina corporation, with two flow cells and an output of up to 6000 Gb (32-40 B reads per run). The sequencer utilizes synthesis technology and patterned flow cells to optimize throughput and even spacing of sequencing clusters.</v>
      </c>
      <c r="E934" s="29"/>
      <c r="F934" s="29"/>
      <c r="G934" s="29"/>
      <c r="H934" s="56" t="s">
        <v>19</v>
      </c>
      <c r="I934" s="56" t="s">
        <v>19</v>
      </c>
      <c r="J934" s="56" t="s">
        <v>19</v>
      </c>
      <c r="K934" s="55" t="str">
        <f t="shared" si="61"/>
        <v>International</v>
      </c>
      <c r="M934" s="40"/>
    </row>
    <row r="935" hidden="1">
      <c r="A935" s="29"/>
      <c r="B935" s="53" t="str">
        <f>IFERROR(__xludf.DUMMYFUNCTION("""COMPUTED_VALUE"""),"     Illumina MiniSeq [OBI:0003114]               ")</f>
        <v>     Illumina MiniSeq [OBI:0003114]               </v>
      </c>
      <c r="C935" s="29" t="str">
        <f>IFERROR(__xludf.DUMMYFUNCTION("""COMPUTED_VALUE"""),"OBI:0003114")</f>
        <v>OBI:0003114</v>
      </c>
      <c r="D935" s="29" t="str">
        <f>IFERROR(__xludf.DUMMYFUNCTION("""COMPUTED_VALUE"""),"A small benchtop DNA sequencer which is manufactured by the Illumina corporation with integrated cluster generation, sequencing and data analysis. The sequencer accommodates various flow cell configurations and can produce up to 25M single reads or 50M pa"&amp;"ired-end reads per run.")</f>
        <v>A small benchtop DNA sequencer which is manufactured by the Illumina corporation with integrated cluster generation, sequencing and data analysis. The sequencer accommodates various flow cell configurations and can produce up to 25M single reads or 50M paired-end reads per run.</v>
      </c>
      <c r="E935" s="29"/>
      <c r="F935" s="29"/>
      <c r="G935" s="29"/>
      <c r="H935" s="56" t="s">
        <v>19</v>
      </c>
      <c r="I935" s="56" t="s">
        <v>19</v>
      </c>
      <c r="J935" s="56" t="s">
        <v>19</v>
      </c>
      <c r="K935" s="55" t="str">
        <f t="shared" si="61"/>
        <v>International</v>
      </c>
      <c r="M935" s="40"/>
    </row>
    <row r="936" hidden="1">
      <c r="A936" s="29"/>
      <c r="B936" s="53" t="str">
        <f>IFERROR(__xludf.DUMMYFUNCTION("""COMPUTED_VALUE"""),"     Illumina MiSeq [OBI:0002003]               ")</f>
        <v>     Illumina MiSeq [OBI:0002003]               </v>
      </c>
      <c r="C936" s="29" t="str">
        <f>IFERROR(__xludf.DUMMYFUNCTION("""COMPUTED_VALUE"""),"OBI:0002003")</f>
        <v>OBI:0002003</v>
      </c>
      <c r="D936" s="29" t="str">
        <f>IFERROR(__xludf.DUMMYFUNCTION("""COMPUTED_VALUE"""),"A DNA sequencer which is manufactured by the Illumina corporation. Built upon sequencing by synthesis technology, the machine provides an end-to-end solution (cluster generation, amplification, sequencing, and data analysis) in a single machine.")</f>
        <v>A DNA sequencer which is manufactured by the Illumina corporation. Built upon sequencing by synthesis technology, the machine provides an end-to-end solution (cluster generation, amplification, sequencing, and data analysis) in a single machine.</v>
      </c>
      <c r="E936" s="29"/>
      <c r="F936" s="29"/>
      <c r="G936" s="29"/>
      <c r="H936" s="56" t="s">
        <v>19</v>
      </c>
      <c r="I936" s="56" t="s">
        <v>19</v>
      </c>
      <c r="J936" s="56" t="s">
        <v>19</v>
      </c>
      <c r="K936" s="55" t="str">
        <f t="shared" si="61"/>
        <v>International</v>
      </c>
      <c r="M936" s="40"/>
    </row>
    <row r="937" hidden="1">
      <c r="A937" s="29"/>
      <c r="B937" s="53" t="str">
        <f>IFERROR(__xludf.DUMMYFUNCTION("""COMPUTED_VALUE"""),"     Illumina NextSeq [GENEPIO:0100126]               ")</f>
        <v>     Illumina NextSeq [GENEPIO:0100126]               </v>
      </c>
      <c r="C937" s="29" t="str">
        <f>IFERROR(__xludf.DUMMYFUNCTION("""COMPUTED_VALUE"""),"GENEPIO:0100126")</f>
        <v>GENEPIO:0100126</v>
      </c>
      <c r="D937" s="29" t="str">
        <f>IFERROR(__xludf.DUMMYFUNCTION("""COMPUTED_VALUE"""),"A DNA sequencer which is manufactured by the Illumina corporation using sequence-by-synthesis chemistry that fits on a benchtop and has an output capacity of 1.65-7.5 Gb.")</f>
        <v>A DNA sequencer which is manufactured by the Illumina corporation using sequence-by-synthesis chemistry that fits on a benchtop and has an output capacity of 1.65-7.5 Gb.</v>
      </c>
      <c r="E937" s="29"/>
      <c r="F937" s="29"/>
      <c r="G937" s="29"/>
      <c r="H937" s="56" t="s">
        <v>19</v>
      </c>
      <c r="I937" s="56" t="s">
        <v>19</v>
      </c>
      <c r="J937" s="56" t="s">
        <v>19</v>
      </c>
      <c r="K937" s="55" t="str">
        <f t="shared" si="61"/>
        <v>International</v>
      </c>
      <c r="M937" s="40"/>
    </row>
    <row r="938" hidden="1">
      <c r="A938" s="29"/>
      <c r="B938" s="53" t="str">
        <f>IFERROR(__xludf.DUMMYFUNCTION("""COMPUTED_VALUE"""),"          Illumina NextSeq 500 [OBI:0002021]          ")</f>
        <v>          Illumina NextSeq 500 [OBI:0002021]          </v>
      </c>
      <c r="C938" s="29" t="str">
        <f>IFERROR(__xludf.DUMMYFUNCTION("""COMPUTED_VALUE"""),"OBI:0002021")</f>
        <v>OBI:0002021</v>
      </c>
      <c r="D938"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f>
        <v>A DNA sequencer which is a desktop sequencer ideal for smaller-scale studies manufactured by the Illumina corporation. It supports sequencing of single, long or short insert paired end clone libraries relying on sequencing by synthesis technology.</v>
      </c>
      <c r="E938" s="29"/>
      <c r="F938" s="29"/>
      <c r="G938" s="29"/>
      <c r="H938" s="56" t="s">
        <v>19</v>
      </c>
      <c r="I938" s="56" t="s">
        <v>19</v>
      </c>
      <c r="J938" s="56" t="s">
        <v>19</v>
      </c>
      <c r="K938" s="55" t="str">
        <f t="shared" si="61"/>
        <v>International</v>
      </c>
      <c r="M938" s="40"/>
    </row>
    <row r="939" hidden="1">
      <c r="A939" s="29"/>
      <c r="B939" s="53" t="str">
        <f>IFERROR(__xludf.DUMMYFUNCTION("""COMPUTED_VALUE"""),"          Illumina NextSeq 550 [GENEPIO:0100128]          ")</f>
        <v>          Illumina NextSeq 550 [GENEPIO:0100128]          </v>
      </c>
      <c r="C939" s="29" t="str">
        <f>IFERROR(__xludf.DUMMYFUNCTION("""COMPUTED_VALUE"""),"GENEPIO:0100128")</f>
        <v>GENEPIO:0100128</v>
      </c>
      <c r="D939" s="29" t="str">
        <f>IFERROR(__xludf.DUMMYFUNCTION("""COMPUTED_VALUE"""),"A DNA sequencer which is a desktop sequencer ideal for smaller-scale studies manufactured by the Illumina corporation. It supports sequencing of single, long or short insert paired end clone libraries relying on sequencing by synthesis technology. The 550"&amp;" is an upgrade on the 500 model.")</f>
        <v>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v>
      </c>
      <c r="E939" s="29"/>
      <c r="F939" s="29"/>
      <c r="G939" s="29"/>
      <c r="H939" s="56" t="s">
        <v>19</v>
      </c>
      <c r="I939" s="56" t="s">
        <v>19</v>
      </c>
      <c r="J939" s="56" t="s">
        <v>19</v>
      </c>
      <c r="K939" s="55" t="str">
        <f t="shared" si="61"/>
        <v>International</v>
      </c>
      <c r="M939" s="40"/>
    </row>
    <row r="940" hidden="1">
      <c r="A940" s="29"/>
      <c r="B940" s="53" t="str">
        <f>IFERROR(__xludf.DUMMYFUNCTION("""COMPUTED_VALUE"""),"          Illumina NextSeq 1000 [OBI:0003606]          ")</f>
        <v>          Illumina NextSeq 1000 [OBI:0003606]          </v>
      </c>
      <c r="C940" s="29" t="str">
        <f>IFERROR(__xludf.DUMMYFUNCTION("""COMPUTED_VALUE"""),"OBI:0003606")</f>
        <v>OBI:0003606</v>
      </c>
      <c r="D940" s="29" t="str">
        <f>IFERROR(__xludf.DUMMYFUNCTION("""COMPUTED_VALUE"""),"A DNA sequencer which is manufactured by the Illumina corporation using sequence-by-synthesis chemistry that fits on a benchtop and uses P1 and P2 flow cells.")</f>
        <v>A DNA sequencer which is manufactured by the Illumina corporation using sequence-by-synthesis chemistry that fits on a benchtop and uses P1 and P2 flow cells.</v>
      </c>
      <c r="E940" s="29"/>
      <c r="F940" s="29"/>
      <c r="G940" s="29"/>
      <c r="H940" s="56" t="s">
        <v>19</v>
      </c>
      <c r="I940" s="56" t="s">
        <v>19</v>
      </c>
      <c r="J940" s="56" t="s">
        <v>19</v>
      </c>
      <c r="K940" s="55" t="str">
        <f t="shared" si="61"/>
        <v>International</v>
      </c>
      <c r="M940" s="40"/>
    </row>
    <row r="941" hidden="1">
      <c r="A941" s="29"/>
      <c r="B941" s="53" t="str">
        <f>IFERROR(__xludf.DUMMYFUNCTION("""COMPUTED_VALUE"""),"          Illumina NextSeq 2000 [GENEPIO:0100129]          ")</f>
        <v>          Illumina NextSeq 2000 [GENEPIO:0100129]          </v>
      </c>
      <c r="C941" s="29" t="str">
        <f>IFERROR(__xludf.DUMMYFUNCTION("""COMPUTED_VALUE"""),"GENEPIO:0100129")</f>
        <v>GENEPIO:0100129</v>
      </c>
      <c r="D941" s="29" t="str">
        <f>IFERROR(__xludf.DUMMYFUNCTION("""COMPUTED_VALUE"""),"A DNA sequencer which is manufactured by the Illumina corporation using sequence-by-synthesis chemistry that fits on a benchtop and has an output capacity of 30-360 Gb.")</f>
        <v>A DNA sequencer which is manufactured by the Illumina corporation using sequence-by-synthesis chemistry that fits on a benchtop and has an output capacity of 30-360 Gb.</v>
      </c>
      <c r="E941" s="29"/>
      <c r="F941" s="29"/>
      <c r="G941" s="29"/>
      <c r="H941" s="29"/>
      <c r="I941" s="29"/>
      <c r="J941" s="29"/>
      <c r="K941" s="55" t="str">
        <f t="shared" si="61"/>
        <v>International</v>
      </c>
      <c r="M941" s="40"/>
    </row>
    <row r="942" hidden="1">
      <c r="A942" s="34"/>
      <c r="B942" s="53" t="str">
        <f>IFERROR(__xludf.DUMMYFUNCTION("""COMPUTED_VALUE"""),"Pacific Biosciences [GENEPIO:0100130]                    ")</f>
        <v>Pacific Biosciences [GENEPIO:0100130]                    </v>
      </c>
      <c r="C942" s="34" t="str">
        <f>IFERROR(__xludf.DUMMYFUNCTION("""COMPUTED_VALUE"""),"GENEPIO:0100130")</f>
        <v>GENEPIO:0100130</v>
      </c>
      <c r="D942" s="29" t="str">
        <f>IFERROR(__xludf.DUMMYFUNCTION("""COMPUTED_VALUE"""),"A DNA sequencer manufactured by the Pacific Biosciences corporation.")</f>
        <v>A DNA sequencer manufactured by the Pacific Biosciences corporation.</v>
      </c>
      <c r="K942" s="55" t="str">
        <f t="shared" si="61"/>
        <v>International</v>
      </c>
      <c r="M942" s="40"/>
    </row>
    <row r="943" hidden="1">
      <c r="A943" s="34"/>
      <c r="B943" s="53" t="str">
        <f>IFERROR(__xludf.DUMMYFUNCTION("""COMPUTED_VALUE"""),"     PacBio RS [GENEPIO:0100131]               ")</f>
        <v>     PacBio RS [GENEPIO:0100131]               </v>
      </c>
      <c r="C943" s="34" t="str">
        <f>IFERROR(__xludf.DUMMYFUNCTION("""COMPUTED_VALUE"""),"GENEPIO:0100131")</f>
        <v>GENEPIO:0100131</v>
      </c>
      <c r="D943" s="29" t="str">
        <f>IFERROR(__xludf.DUMMYFUNCTION("""COMPUTED_VALUE"""),"A DNA sequencer manufactured by the Pacific Biosciences corporation which utilizes “SMRT Cells” for single-molecule real-time sequencing. The RS was the first model made by the company.")</f>
        <v>A DNA sequencer manufactured by the Pacific Biosciences corporation which utilizes “SMRT Cells” for single-molecule real-time sequencing. The RS was the first model made by the company.</v>
      </c>
      <c r="H943" s="55" t="s">
        <v>19</v>
      </c>
      <c r="I943" s="55" t="s">
        <v>19</v>
      </c>
      <c r="J943" s="55" t="s">
        <v>19</v>
      </c>
      <c r="K943" s="55" t="str">
        <f t="shared" si="61"/>
        <v>International</v>
      </c>
      <c r="M943" s="40"/>
    </row>
    <row r="944" hidden="1">
      <c r="A944" s="34"/>
      <c r="B944" s="53" t="str">
        <f>IFERROR(__xludf.DUMMYFUNCTION("""COMPUTED_VALUE"""),"     PacBio RS II [OBI:0002012]               ")</f>
        <v>     PacBio RS II [OBI:0002012]               </v>
      </c>
      <c r="C944" s="34" t="str">
        <f>IFERROR(__xludf.DUMMYFUNCTION("""COMPUTED_VALUE"""),"OBI:0002012")</f>
        <v>OBI:0002012</v>
      </c>
      <c r="D944" s="29" t="str">
        <f>IFERROR(__xludf.DUMMYFUNCTION("""COMPUTED_VALUE"""),"A DNA sequencer which is manufactured by the Pacific Biosciences corporation. Built upon single molecule real-time sequencing technology, the machine is optimized for generation with long reads and high consensus accuracy.")</f>
        <v>A DNA sequencer which is manufactured by the Pacific Biosciences corporation. Built upon single molecule real-time sequencing technology, the machine is optimized for generation with long reads and high consensus accuracy.</v>
      </c>
      <c r="H944" s="55" t="s">
        <v>19</v>
      </c>
      <c r="I944" s="55" t="s">
        <v>19</v>
      </c>
      <c r="J944" s="55" t="s">
        <v>19</v>
      </c>
      <c r="K944" s="55" t="str">
        <f t="shared" si="61"/>
        <v>International</v>
      </c>
      <c r="M944" s="40"/>
    </row>
    <row r="945" hidden="1">
      <c r="A945" s="34"/>
      <c r="B945" s="53" t="str">
        <f>IFERROR(__xludf.DUMMYFUNCTION("""COMPUTED_VALUE"""),"     PacBio Sequel [OBI:0002632]               ")</f>
        <v>     PacBio Sequel [OBI:0002632]               </v>
      </c>
      <c r="C945" s="34" t="str">
        <f>IFERROR(__xludf.DUMMYFUNCTION("""COMPUTED_VALUE"""),"OBI:0002632")</f>
        <v>OBI:0002632</v>
      </c>
      <c r="D945" s="29" t="str">
        <f>IFERROR(__xludf.DUMMYFUNCTION("""COMPUTED_VALUE"""),"A DNA sequencer built upon single molecule real-time sequencing technology, optimized for generation with long reads and high consensus accuracy, and manufactured by the Pacific Biosciences corporation")</f>
        <v>A DNA sequencer built upon single molecule real-time sequencing technology, optimized for generation with long reads and high consensus accuracy, and manufactured by the Pacific Biosciences corporation</v>
      </c>
      <c r="H945" s="55" t="s">
        <v>19</v>
      </c>
      <c r="I945" s="55" t="s">
        <v>19</v>
      </c>
      <c r="J945" s="55" t="s">
        <v>19</v>
      </c>
      <c r="K945" s="55" t="str">
        <f t="shared" si="61"/>
        <v>International</v>
      </c>
      <c r="M945" s="40"/>
    </row>
    <row r="946" hidden="1">
      <c r="A946" s="34"/>
      <c r="B946" s="53" t="str">
        <f>IFERROR(__xludf.DUMMYFUNCTION("""COMPUTED_VALUE"""),"     PacBio Sequel II [OBI:0002633]               ")</f>
        <v>     PacBio Sequel II [OBI:0002633]               </v>
      </c>
      <c r="C946" s="34" t="str">
        <f>IFERROR(__xludf.DUMMYFUNCTION("""COMPUTED_VALUE"""),"OBI:0002633")</f>
        <v>OBI:0002633</v>
      </c>
      <c r="D946" s="29" t="str">
        <f>IFERROR(__xludf.DUMMYFUNCTION("""COMPUTED_VALUE"""),"A DNA sequencer built upon single molecule real-time sequencing technology, optimized for generation of highly accurate (""HiFi"") long reads, and which is manufactured by the Pacific Biosciences corporation.")</f>
        <v>A DNA sequencer built upon single molecule real-time sequencing technology, optimized for generation of highly accurate ("HiFi") long reads, and which is manufactured by the Pacific Biosciences corporation.</v>
      </c>
      <c r="H946" s="55" t="s">
        <v>19</v>
      </c>
      <c r="I946" s="55" t="s">
        <v>19</v>
      </c>
      <c r="J946" s="55" t="s">
        <v>19</v>
      </c>
      <c r="K946" s="55" t="str">
        <f t="shared" si="61"/>
        <v>International</v>
      </c>
      <c r="M946" s="40"/>
    </row>
    <row r="947" hidden="1">
      <c r="A947" s="34"/>
      <c r="B947" s="53" t="str">
        <f>IFERROR(__xludf.DUMMYFUNCTION("""COMPUTED_VALUE"""),"Ion Torrent [GENEPIO:0100135                    ")</f>
        <v>Ion Torrent [GENEPIO:0100135                    </v>
      </c>
      <c r="C947" s="34" t="str">
        <f>IFERROR(__xludf.DUMMYFUNCTION("""COMPUTED_VALUE"""),"GENEPIO:0100135")</f>
        <v>GENEPIO:0100135</v>
      </c>
      <c r="D947" s="29" t="str">
        <f>IFERROR(__xludf.DUMMYFUNCTION("""COMPUTED_VALUE"""),"A DNA sequencer manufactured by the Ion Torrent corporation.")</f>
        <v>A DNA sequencer manufactured by the Ion Torrent corporation.</v>
      </c>
      <c r="H947" s="55" t="s">
        <v>19</v>
      </c>
      <c r="I947" s="55" t="s">
        <v>19</v>
      </c>
      <c r="J947" s="55" t="s">
        <v>19</v>
      </c>
      <c r="K947" s="55" t="str">
        <f t="shared" si="61"/>
        <v>International</v>
      </c>
      <c r="M947" s="40"/>
    </row>
    <row r="948" hidden="1">
      <c r="A948" s="34"/>
      <c r="B948" s="53" t="str">
        <f>IFERROR(__xludf.DUMMYFUNCTION("""COMPUTED_VALUE"""),"     Ion Torrent PGM [GENEPIO:0100136]               ")</f>
        <v>     Ion Torrent PGM [GENEPIO:0100136]               </v>
      </c>
      <c r="C948" s="34" t="str">
        <f>IFERROR(__xludf.DUMMYFUNCTION("""COMPUTED_VALUE"""),"GENEPIO:0100136")</f>
        <v>GENEPIO:0100136</v>
      </c>
      <c r="D948" s="29" t="str">
        <f>IFERROR(__xludf.DUMMYFUNCTION("""COMPUTED_VALUE"""),"A DNA sequencer manufactured by the Ion Torrent corporation which utilizes Ion semiconductor sequencing and has an output capacity of 300 MB - 1GB.")</f>
        <v>A DNA sequencer manufactured by the Ion Torrent corporation which utilizes Ion semiconductor sequencing and has an output capacity of 300 MB - 1GB.</v>
      </c>
      <c r="H948" s="55" t="s">
        <v>19</v>
      </c>
      <c r="I948" s="55" t="s">
        <v>19</v>
      </c>
      <c r="J948" s="55" t="s">
        <v>19</v>
      </c>
      <c r="K948" s="55" t="str">
        <f t="shared" si="61"/>
        <v>International</v>
      </c>
      <c r="M948" s="40"/>
    </row>
    <row r="949" hidden="1">
      <c r="A949" s="34"/>
      <c r="B949" s="53" t="str">
        <f>IFERROR(__xludf.DUMMYFUNCTION("""COMPUTED_VALUE"""),"     Ion Torrent Proton [GENEPIO:0100137]               ")</f>
        <v>     Ion Torrent Proton [GENEPIO:0100137]               </v>
      </c>
      <c r="C949" s="34" t="str">
        <f>IFERROR(__xludf.DUMMYFUNCTION("""COMPUTED_VALUE"""),"GENEPIO:0100137")</f>
        <v>GENEPIO:0100137</v>
      </c>
      <c r="D949" s="29" t="str">
        <f>IFERROR(__xludf.DUMMYFUNCTION("""COMPUTED_VALUE"""),"A DNA sequencer manufactured by the Ion Torrent corporation which utilizes Ion semiconductor sequencing and has an output capacity of up to 15 Gb.")</f>
        <v>A DNA sequencer manufactured by the Ion Torrent corporation which utilizes Ion semiconductor sequencing and has an output capacity of up to 15 Gb.</v>
      </c>
      <c r="H949" s="55" t="s">
        <v>19</v>
      </c>
      <c r="I949" s="55" t="s">
        <v>19</v>
      </c>
      <c r="J949" s="55" t="s">
        <v>19</v>
      </c>
      <c r="K949" s="55" t="str">
        <f t="shared" si="61"/>
        <v>International</v>
      </c>
      <c r="M949" s="40"/>
    </row>
    <row r="950" hidden="1">
      <c r="A950" s="34"/>
      <c r="B950" s="53" t="str">
        <f>IFERROR(__xludf.DUMMYFUNCTION("""COMPUTED_VALUE"""),"     Ion Torrent S5 XL [GENEPIO:0100138]               ")</f>
        <v>     Ion Torrent S5 XL [GENEPIO:0100138]               </v>
      </c>
      <c r="C950" s="34" t="str">
        <f>IFERROR(__xludf.DUMMYFUNCTION("""COMPUTED_VALUE"""),"GENEPIO:0100138")</f>
        <v>GENEPIO:0100138</v>
      </c>
      <c r="D950" s="29" t="str">
        <f>IFERROR(__xludf.DUMMYFUNCTION("""COMPUTED_VALUE"""),"A DNA sequencer manufactured by the Ion Torrent corporation which utilizes Ion semiconductor sequencing and requires only a small amount of input material while producing data faster than the S5 model.")</f>
        <v>A DNA sequencer manufactured by the Ion Torrent corporation which utilizes Ion semiconductor sequencing and requires only a small amount of input material while producing data faster than the S5 model.</v>
      </c>
      <c r="H950" s="55" t="s">
        <v>19</v>
      </c>
      <c r="I950" s="55" t="s">
        <v>19</v>
      </c>
      <c r="J950" s="55" t="s">
        <v>19</v>
      </c>
      <c r="K950" s="55" t="str">
        <f t="shared" si="61"/>
        <v>International</v>
      </c>
      <c r="M950" s="40"/>
    </row>
    <row r="951" hidden="1">
      <c r="A951" s="34"/>
      <c r="B951" s="53" t="str">
        <f>IFERROR(__xludf.DUMMYFUNCTION("""COMPUTED_VALUE"""),"     Ion Torrent S5 [GENEPIO:0100139]               ")</f>
        <v>     Ion Torrent S5 [GENEPIO:0100139]               </v>
      </c>
      <c r="C951" s="34" t="str">
        <f>IFERROR(__xludf.DUMMYFUNCTION("""COMPUTED_VALUE"""),"GENEPIO:0100139")</f>
        <v>GENEPIO:0100139</v>
      </c>
      <c r="D951" s="29" t="str">
        <f>IFERROR(__xludf.DUMMYFUNCTION("""COMPUTED_VALUE"""),"A DNA sequencer manufactured by the Ion Torrent corporation which utilizes Ion semiconductor sequencing and requires only a small amount of input material.")</f>
        <v>A DNA sequencer manufactured by the Ion Torrent corporation which utilizes Ion semiconductor sequencing and requires only a small amount of input material.</v>
      </c>
      <c r="H951" s="55" t="s">
        <v>19</v>
      </c>
      <c r="I951" s="55" t="s">
        <v>19</v>
      </c>
      <c r="J951" s="55" t="s">
        <v>19</v>
      </c>
      <c r="K951" s="55" t="str">
        <f t="shared" si="61"/>
        <v>International</v>
      </c>
      <c r="M951" s="40"/>
    </row>
    <row r="952" hidden="1">
      <c r="A952" s="34"/>
      <c r="B952" s="53" t="str">
        <f>IFERROR(__xludf.DUMMYFUNCTION("""COMPUTED_VALUE"""),"Oxford Nanopore [GENEPIO:0100140]                    ")</f>
        <v>Oxford Nanopore [GENEPIO:0100140]                    </v>
      </c>
      <c r="C952" s="34" t="str">
        <f>IFERROR(__xludf.DUMMYFUNCTION("""COMPUTED_VALUE"""),"GENEPIO:0100140")</f>
        <v>GENEPIO:0100140</v>
      </c>
      <c r="D952" s="29" t="str">
        <f>IFERROR(__xludf.DUMMYFUNCTION("""COMPUTED_VALUE"""),"A DNA sequencer manufactured by the Oxford Nanopore corporation.")</f>
        <v>A DNA sequencer manufactured by the Oxford Nanopore corporation.</v>
      </c>
      <c r="H952" s="55" t="s">
        <v>19</v>
      </c>
      <c r="I952" s="55" t="s">
        <v>19</v>
      </c>
      <c r="J952" s="55" t="s">
        <v>19</v>
      </c>
      <c r="K952" s="55" t="str">
        <f t="shared" si="61"/>
        <v>International</v>
      </c>
      <c r="M952" s="40"/>
    </row>
    <row r="953" hidden="1">
      <c r="A953" s="34"/>
      <c r="B953" s="53" t="str">
        <f>IFERROR(__xludf.DUMMYFUNCTION("""COMPUTED_VALUE"""),"     Oxford Nanopore Flongle [GENEPIO:0004433]               ")</f>
        <v>     Oxford Nanopore Flongle [GENEPIO:0004433]               </v>
      </c>
      <c r="C953" s="34" t="str">
        <f>IFERROR(__xludf.DUMMYFUNCTION("""COMPUTED_VALUE"""),"GENEPIO:0004433")</f>
        <v>GENEPIO:0004433</v>
      </c>
      <c r="D953" s="29" t="str">
        <f>IFERROR(__xludf.DUMMYFUNCTION("""COMPUTED_VALUE"""),"An adapter for MinION or GridION DNA sequencers manufactured by the Oxford Nanopore corporation that enables sequencing on smaller, single-use flow cells.")</f>
        <v>An adapter for MinION or GridION DNA sequencers manufactured by the Oxford Nanopore corporation that enables sequencing on smaller, single-use flow cells.</v>
      </c>
      <c r="H953" s="55" t="s">
        <v>19</v>
      </c>
      <c r="I953" s="55" t="s">
        <v>19</v>
      </c>
      <c r="J953" s="55" t="s">
        <v>19</v>
      </c>
      <c r="K953" s="55" t="str">
        <f t="shared" si="61"/>
        <v>International</v>
      </c>
      <c r="M953" s="40"/>
    </row>
    <row r="954" hidden="1">
      <c r="A954" s="34"/>
      <c r="B954" s="53" t="str">
        <f>IFERROR(__xludf.DUMMYFUNCTION("""COMPUTED_VALUE"""),"     Oxford Nanopore GridION [GENEPIO:0100141]               ")</f>
        <v>     Oxford Nanopore GridION [GENEPIO:0100141]               </v>
      </c>
      <c r="C954" s="34" t="str">
        <f>IFERROR(__xludf.DUMMYFUNCTION("""COMPUTED_VALUE"""),"GENEPIO:0100141")</f>
        <v>GENEPIO:0100141</v>
      </c>
      <c r="D954" s="29" t="str">
        <f>IFERROR(__xludf.DUMMYFUNCTION("""COMPUTED_VALUE"""),"A DNA sequencer that is manufactured by the Oxford Nanopore Technologies corporation, that can run and analyze up to five individual flow cells producing up to 150 Gb of data per run. The sequencer produces real-time results and utilizes nanopore technolo"&amp;"gy with the option of running the flow cells concurrently or individual")</f>
        <v>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v>
      </c>
      <c r="H954" s="55" t="s">
        <v>19</v>
      </c>
      <c r="I954" s="55" t="s">
        <v>19</v>
      </c>
      <c r="J954" s="55" t="s">
        <v>19</v>
      </c>
      <c r="K954" s="55" t="str">
        <f t="shared" si="61"/>
        <v>International</v>
      </c>
      <c r="M954" s="40"/>
    </row>
    <row r="955" hidden="1">
      <c r="A955" s="34"/>
      <c r="B955" s="53" t="str">
        <f>IFERROR(__xludf.DUMMYFUNCTION("""COMPUTED_VALUE"""),"     Oxford Nanopore MinION [OBI:0002750]               ")</f>
        <v>     Oxford Nanopore MinION [OBI:0002750]               </v>
      </c>
      <c r="C955" s="34" t="str">
        <f>IFERROR(__xludf.DUMMYFUNCTION("""COMPUTED_VALUE"""),"OBI:0002750")</f>
        <v>OBI:0002750</v>
      </c>
      <c r="D955" s="29" t="str">
        <f>IFERROR(__xludf.DUMMYFUNCTION("""COMPUTED_VALUE"""),"A portable DNA sequencer which is manufactured by the Oxford Nanopore Technologies corporation, that uses consumable flow cells producing up to 30 Gb of DNA sequence data per flow cell. The sequencer produces real-time results and utilizes nanopore techno"&amp;"logy with up to 512 nanopore channels in the sensor array.")</f>
        <v>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v>
      </c>
      <c r="H955" s="55" t="s">
        <v>19</v>
      </c>
      <c r="I955" s="55" t="s">
        <v>19</v>
      </c>
      <c r="J955" s="55" t="s">
        <v>19</v>
      </c>
      <c r="K955" s="55" t="str">
        <f t="shared" si="61"/>
        <v>International</v>
      </c>
      <c r="M955" s="40"/>
    </row>
    <row r="956" hidden="1">
      <c r="A956" s="34"/>
      <c r="B956" s="53" t="str">
        <f>IFERROR(__xludf.DUMMYFUNCTION("""COMPUTED_VALUE"""),"     Oxford Nanopore PromethION [OBI:0002752]               ")</f>
        <v>     Oxford Nanopore PromethION [OBI:0002752]               </v>
      </c>
      <c r="C956" s="34" t="str">
        <f>IFERROR(__xludf.DUMMYFUNCTION("""COMPUTED_VALUE"""),"OBI:0002752")</f>
        <v>OBI:0002752</v>
      </c>
      <c r="D956" s="29" t="str">
        <f>IFERROR(__xludf.DUMMYFUNCTION("""COMPUTED_VALUE"""),"A DNA sequencer that is manufactured by the Oxford Nanopore Technologies corporation, capable of running up to 48 flow cells and producing up to 7.6 Tb of data per run. The sequencer produces real-time results and utilizes Nanopore technology, with each f"&amp;"low cell allowing up to 3,000 nanopores to be sequencing simultaneously.")</f>
        <v>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v>
      </c>
      <c r="H956" s="55" t="s">
        <v>19</v>
      </c>
      <c r="I956" s="55" t="s">
        <v>19</v>
      </c>
      <c r="J956" s="55" t="s">
        <v>19</v>
      </c>
      <c r="K956" s="55" t="str">
        <f t="shared" si="61"/>
        <v>International</v>
      </c>
      <c r="M956" s="40"/>
    </row>
    <row r="957" hidden="1">
      <c r="A957" s="34"/>
      <c r="B957" s="53" t="str">
        <f>IFERROR(__xludf.DUMMYFUNCTION("""COMPUTED_VALUE"""),"BGI Genomics [GENEPIO:0100144]                    ")</f>
        <v>BGI Genomics [GENEPIO:0100144]                    </v>
      </c>
      <c r="C957" s="34" t="str">
        <f>IFERROR(__xludf.DUMMYFUNCTION("""COMPUTED_VALUE"""),"GENEPIO:0100144")</f>
        <v>GENEPIO:0100144</v>
      </c>
      <c r="D957" s="29" t="str">
        <f>IFERROR(__xludf.DUMMYFUNCTION("""COMPUTED_VALUE"""),"A DNA sequencer manufactured by the BGI Genomics corporation.")</f>
        <v>A DNA sequencer manufactured by the BGI Genomics corporation.</v>
      </c>
      <c r="H957" s="55" t="s">
        <v>19</v>
      </c>
      <c r="I957" s="55" t="s">
        <v>19</v>
      </c>
      <c r="J957" s="55" t="s">
        <v>19</v>
      </c>
      <c r="K957" s="55" t="str">
        <f t="shared" si="61"/>
        <v>International</v>
      </c>
      <c r="M957" s="40"/>
    </row>
    <row r="958" hidden="1">
      <c r="A958" s="34"/>
      <c r="B958" s="53" t="str">
        <f>IFERROR(__xludf.DUMMYFUNCTION("""COMPUTED_VALUE"""),"     BGI Genomics BGISEQ-500 [GENEPIO:0100145]               ")</f>
        <v>     BGI Genomics BGISEQ-500 [GENEPIO:0100145]               </v>
      </c>
      <c r="C958" s="34" t="str">
        <f>IFERROR(__xludf.DUMMYFUNCTION("""COMPUTED_VALUE"""),"GENEPIO:0100145")</f>
        <v>GENEPIO:0100145</v>
      </c>
      <c r="D958" s="29" t="str">
        <f>IFERROR(__xludf.DUMMYFUNCTION("""COMPUTED_VALUE"""),"A DNA sequencer manufactured by the BGI Genomics corporation that utilizes Probe-Anchor Synthesis (cPAS) chemistry and ""DNA Nanoballs"".")</f>
        <v>A DNA sequencer manufactured by the BGI Genomics corporation that utilizes Probe-Anchor Synthesis (cPAS) chemistry and "DNA Nanoballs".</v>
      </c>
      <c r="H958" s="55" t="s">
        <v>19</v>
      </c>
      <c r="I958" s="55" t="s">
        <v>19</v>
      </c>
      <c r="J958" s="55" t="s">
        <v>19</v>
      </c>
      <c r="K958" s="55" t="str">
        <f t="shared" si="61"/>
        <v>International</v>
      </c>
      <c r="M958" s="40"/>
    </row>
    <row r="959" hidden="1">
      <c r="A959" s="34"/>
      <c r="B959" s="53" t="str">
        <f>IFERROR(__xludf.DUMMYFUNCTION("""COMPUTED_VALUE"""),"MGI [GENEPIO:0100146]                    ")</f>
        <v>MGI [GENEPIO:0100146]                    </v>
      </c>
      <c r="C959" s="34" t="str">
        <f>IFERROR(__xludf.DUMMYFUNCTION("""COMPUTED_VALUE"""),"GENEPIO:0100146")</f>
        <v>GENEPIO:0100146</v>
      </c>
      <c r="D959" s="29" t="str">
        <f>IFERROR(__xludf.DUMMYFUNCTION("""COMPUTED_VALUE"""),"A DNA sequencer manufactured by the MGI corporation.")</f>
        <v>A DNA sequencer manufactured by the MGI corporation.</v>
      </c>
      <c r="H959" s="55" t="s">
        <v>19</v>
      </c>
      <c r="I959" s="55" t="s">
        <v>19</v>
      </c>
      <c r="J959" s="55" t="s">
        <v>19</v>
      </c>
      <c r="K959" s="55" t="str">
        <f t="shared" si="61"/>
        <v>International</v>
      </c>
      <c r="M959" s="40"/>
    </row>
    <row r="960" hidden="1">
      <c r="A960" s="34"/>
      <c r="B960" s="53" t="str">
        <f>IFERROR(__xludf.DUMMYFUNCTION("""COMPUTED_VALUE"""),"     MGI DNBSEQ-T7 [GENEPIO:0100147]               ")</f>
        <v>     MGI DNBSEQ-T7 [GENEPIO:0100147]               </v>
      </c>
      <c r="C960" s="34" t="str">
        <f>IFERROR(__xludf.DUMMYFUNCTION("""COMPUTED_VALUE"""),"GENEPIO:0100147")</f>
        <v>GENEPIO:0100147</v>
      </c>
      <c r="D960" s="29" t="str">
        <f>IFERROR(__xludf.DUMMYFUNCTION("""COMPUTED_VALUE"""),"A high throughput DNA sequencer manufactured by the MGI corporation with an output capacity of 1~6TB of data per day.")</f>
        <v>A high throughput DNA sequencer manufactured by the MGI corporation with an output capacity of 1~6TB of data per day.</v>
      </c>
      <c r="H960" s="55" t="s">
        <v>19</v>
      </c>
      <c r="I960" s="55" t="s">
        <v>19</v>
      </c>
      <c r="J960" s="55" t="s">
        <v>19</v>
      </c>
      <c r="K960" s="55" t="str">
        <f t="shared" si="61"/>
        <v>International</v>
      </c>
      <c r="M960" s="40"/>
    </row>
    <row r="961" hidden="1">
      <c r="A961" s="34"/>
      <c r="B961" s="53" t="str">
        <f>IFERROR(__xludf.DUMMYFUNCTION("""COMPUTED_VALUE"""),"     MGI DNBSEQ-G400 [GENEPIO:0100148]               ")</f>
        <v>     MGI DNBSEQ-G400 [GENEPIO:0100148]               </v>
      </c>
      <c r="C961" s="34" t="str">
        <f>IFERROR(__xludf.DUMMYFUNCTION("""COMPUTED_VALUE"""),"GENEPIO:0100148")</f>
        <v>GENEPIO:0100148</v>
      </c>
      <c r="D961" s="29" t="str">
        <f>IFERROR(__xludf.DUMMYFUNCTION("""COMPUTED_VALUE"""),"A DNA sequencer manufactured by the MGI corporation with an output capacity of 55GB~1440GB per run.")</f>
        <v>A DNA sequencer manufactured by the MGI corporation with an output capacity of 55GB~1440GB per run.</v>
      </c>
      <c r="H961" s="55" t="s">
        <v>19</v>
      </c>
      <c r="I961" s="55" t="s">
        <v>19</v>
      </c>
      <c r="J961" s="55" t="s">
        <v>19</v>
      </c>
      <c r="K961" s="55" t="str">
        <f t="shared" si="61"/>
        <v>International</v>
      </c>
      <c r="M961" s="40"/>
    </row>
    <row r="962" hidden="1">
      <c r="A962" s="34"/>
      <c r="B962" s="53" t="str">
        <f>IFERROR(__xludf.DUMMYFUNCTION("""COMPUTED_VALUE"""),"     MGI DNBSEQ-G400 FAST [GENEPIO:0100149]               ")</f>
        <v>     MGI DNBSEQ-G400 FAST [GENEPIO:0100149]               </v>
      </c>
      <c r="C962" s="34" t="str">
        <f>IFERROR(__xludf.DUMMYFUNCTION("""COMPUTED_VALUE"""),"GENEPIO:0100149")</f>
        <v>GENEPIO:0100149</v>
      </c>
      <c r="D962" s="29" t="str">
        <f>IFERROR(__xludf.DUMMYFUNCTION("""COMPUTED_VALUE"""),"A DNA sequencer manufactured by the MGI corporation with an outout capacity of 55GB~330GB per run, which enables faster sequencing than the DNBSEQ-G400.")</f>
        <v>A DNA sequencer manufactured by the MGI corporation with an outout capacity of 55GB~330GB per run, which enables faster sequencing than the DNBSEQ-G400.</v>
      </c>
      <c r="H962" s="55" t="s">
        <v>19</v>
      </c>
      <c r="I962" s="55" t="s">
        <v>19</v>
      </c>
      <c r="J962" s="55" t="s">
        <v>19</v>
      </c>
      <c r="K962" s="55" t="str">
        <f t="shared" si="61"/>
        <v>International</v>
      </c>
      <c r="M962" s="40"/>
    </row>
    <row r="963" hidden="1">
      <c r="A963" s="34"/>
      <c r="B963" s="53" t="str">
        <f>IFERROR(__xludf.DUMMYFUNCTION("""COMPUTED_VALUE"""),"     MGI DNBSEQ-G50 [GENEPIO:0100150]               ")</f>
        <v>     MGI DNBSEQ-G50 [GENEPIO:0100150]               </v>
      </c>
      <c r="C963" s="34" t="str">
        <f>IFERROR(__xludf.DUMMYFUNCTION("""COMPUTED_VALUE"""),"GENEPIO:0100150")</f>
        <v>GENEPIO:0100150</v>
      </c>
      <c r="D963" s="29" t="str">
        <f>IFERROR(__xludf.DUMMYFUNCTION("""COMPUTED_VALUE"""),"A DNA sequencer manufactured by the MGI corporation with an output capacity of 10～150 GB per run and enables different read lengths.")</f>
        <v>A DNA sequencer manufactured by the MGI corporation with an output capacity of 10～150 GB per run and enables different read lengths.</v>
      </c>
      <c r="H963" s="55" t="s">
        <v>19</v>
      </c>
      <c r="I963" s="55" t="s">
        <v>19</v>
      </c>
      <c r="J963" s="55" t="s">
        <v>19</v>
      </c>
      <c r="K963" s="55" t="str">
        <f t="shared" si="61"/>
        <v>International</v>
      </c>
      <c r="M963" s="40"/>
    </row>
    <row r="964">
      <c r="A964" s="34" t="str">
        <f>IFERROR(__xludf.DUMMYFUNCTION("""COMPUTED_VALUE"""),"genomic target enrichment method menu")</f>
        <v>genomic target enrichment method menu</v>
      </c>
      <c r="B964" s="53" t="str">
        <f>IFERROR(__xludf.DUMMYFUNCTION("""COMPUTED_VALUE"""),"                    ")</f>
        <v>                    </v>
      </c>
      <c r="C964" s="34"/>
      <c r="D964" s="29"/>
      <c r="E964" s="34"/>
      <c r="F964" s="34"/>
      <c r="G964" s="34"/>
      <c r="H964" s="55"/>
      <c r="I964" s="55"/>
      <c r="J964" s="55"/>
      <c r="K964" s="55" t="s">
        <v>26</v>
      </c>
      <c r="L964" s="34" t="str">
        <f>LEFT(A964, LEN(A964) - 5)
</f>
        <v>genomic target enrichment method</v>
      </c>
      <c r="M964" s="34" t="str">
        <f>VLOOKUP(L964,'Field Reference Guide'!$B$6:$N$220,13,false)</f>
        <v>Mpox</v>
      </c>
    </row>
    <row r="965">
      <c r="A965" s="34"/>
      <c r="B965" s="53" t="str">
        <f>IFERROR(__xludf.DUMMYFUNCTION("""COMPUTED_VALUE"""),"Hybridization capture                    ")</f>
        <v>Hybridization capture                    </v>
      </c>
      <c r="C965" s="34" t="str">
        <f>IFERROR(__xludf.DUMMYFUNCTION("""COMPUTED_VALUE"""),"GENEPIO:0001950")</f>
        <v>GENEPIO:0001950</v>
      </c>
      <c r="D965" s="29" t="str">
        <f>IFERROR(__xludf.DUMMYFUNCTION("""COMPUTED_VALUE"""),"Selection by hybridization in array or solution.")</f>
        <v>Selection by hybridization in array or solution.</v>
      </c>
      <c r="H965" s="55" t="s">
        <v>19</v>
      </c>
      <c r="I965" s="55" t="s">
        <v>19</v>
      </c>
      <c r="J965" s="55" t="s">
        <v>19</v>
      </c>
      <c r="K965" s="55" t="str">
        <f t="shared" ref="K965:K966" si="62">K964</f>
        <v>Mpox</v>
      </c>
      <c r="M965" s="57" t="s">
        <v>26</v>
      </c>
    </row>
    <row r="966">
      <c r="A966" s="34"/>
      <c r="B966" s="53" t="str">
        <f>IFERROR(__xludf.DUMMYFUNCTION("""COMPUTED_VALUE"""),"rRNA depletion method                    ")</f>
        <v>rRNA depletion method                    </v>
      </c>
      <c r="C966" s="34" t="str">
        <f>IFERROR(__xludf.DUMMYFUNCTION("""COMPUTED_VALUE"""),"GENEPIO:0101020")</f>
        <v>GENEPIO:0101020</v>
      </c>
      <c r="D966" s="29" t="str">
        <f>IFERROR(__xludf.DUMMYFUNCTION("""COMPUTED_VALUE"""),"Removal of background RNA for the purposes of enriching the genomic target.")</f>
        <v>Removal of background RNA for the purposes of enriching the genomic target.</v>
      </c>
      <c r="H966" s="55" t="s">
        <v>19</v>
      </c>
      <c r="I966" s="55" t="s">
        <v>19</v>
      </c>
      <c r="J966" s="55" t="s">
        <v>19</v>
      </c>
      <c r="K966" s="55" t="str">
        <f t="shared" si="62"/>
        <v>Mpox</v>
      </c>
      <c r="M966" s="40"/>
    </row>
    <row r="967" hidden="1">
      <c r="A967" s="34" t="str">
        <f>IFERROR(__xludf.DUMMYFUNCTION("""COMPUTED_VALUE"""),"genomic target enrichment method international menu")</f>
        <v>genomic target enrichment method international menu</v>
      </c>
      <c r="B967" s="53" t="str">
        <f>IFERROR(__xludf.DUMMYFUNCTION("""COMPUTED_VALUE"""),"                    ")</f>
        <v>                    </v>
      </c>
      <c r="C967" s="34"/>
      <c r="D967" s="29"/>
      <c r="E967" s="34"/>
      <c r="F967" s="34"/>
      <c r="G967" s="34"/>
      <c r="H967" s="55"/>
      <c r="I967" s="55"/>
      <c r="J967" s="55"/>
      <c r="K967" s="59" t="s">
        <v>27</v>
      </c>
      <c r="L967" s="34" t="str">
        <f>LEFT(A967, LEN(A967) - 5)
</f>
        <v>genomic target enrichment method international</v>
      </c>
      <c r="M967" s="34" t="str">
        <f>VLOOKUP(L967,'Field Reference Guide'!$B$6:$N$220,13,false)</f>
        <v>#N/A</v>
      </c>
    </row>
    <row r="968" hidden="1">
      <c r="A968" s="34"/>
      <c r="B968" s="53" t="str">
        <f>IFERROR(__xludf.DUMMYFUNCTION("""COMPUTED_VALUE"""),"Hybridization capture [GENEPIO:0001950]                    ")</f>
        <v>Hybridization capture [GENEPIO:0001950]                    </v>
      </c>
      <c r="C968" s="34" t="str">
        <f>IFERROR(__xludf.DUMMYFUNCTION("""COMPUTED_VALUE"""),"GENEPIO:0001950")</f>
        <v>GENEPIO:0001950</v>
      </c>
      <c r="D968" s="29" t="str">
        <f>IFERROR(__xludf.DUMMYFUNCTION("""COMPUTED_VALUE"""),"Selection by hybridization in array or solution.")</f>
        <v>Selection by hybridization in array or solution.</v>
      </c>
      <c r="K968" s="55" t="str">
        <f t="shared" ref="K968:K969" si="63">K967</f>
        <v>International</v>
      </c>
      <c r="M968" s="57" t="s">
        <v>28</v>
      </c>
    </row>
    <row r="969" hidden="1">
      <c r="A969" s="34"/>
      <c r="B969" s="53" t="str">
        <f>IFERROR(__xludf.DUMMYFUNCTION("""COMPUTED_VALUE"""),"rRNA depletion method [GENEPIO:0101020]                    ")</f>
        <v>rRNA depletion method [GENEPIO:0101020]                    </v>
      </c>
      <c r="C969" s="34" t="str">
        <f>IFERROR(__xludf.DUMMYFUNCTION("""COMPUTED_VALUE"""),"GENEPIO:0101020")</f>
        <v>GENEPIO:0101020</v>
      </c>
      <c r="D969" s="29" t="str">
        <f>IFERROR(__xludf.DUMMYFUNCTION("""COMPUTED_VALUE"""),"Removal of background RNA for the purposes of enriching the genomic target.")</f>
        <v>Removal of background RNA for the purposes of enriching the genomic target.</v>
      </c>
      <c r="H969" s="55" t="s">
        <v>19</v>
      </c>
      <c r="I969" s="55" t="s">
        <v>19</v>
      </c>
      <c r="J969" s="55" t="s">
        <v>19</v>
      </c>
      <c r="K969" s="55" t="str">
        <f t="shared" si="63"/>
        <v>International</v>
      </c>
      <c r="M969" s="40"/>
    </row>
    <row r="970">
      <c r="A970" s="34" t="str">
        <f>IFERROR(__xludf.DUMMYFUNCTION("""COMPUTED_VALUE"""),"quality control determination menu")</f>
        <v>quality control determination menu</v>
      </c>
      <c r="B970" s="53" t="str">
        <f>IFERROR(__xludf.DUMMYFUNCTION("""COMPUTED_VALUE"""),"                    ")</f>
        <v>                    </v>
      </c>
      <c r="C970" s="34"/>
      <c r="D970" s="29"/>
      <c r="E970" s="34"/>
      <c r="F970" s="34"/>
      <c r="G970" s="34"/>
      <c r="H970" s="55"/>
      <c r="I970" s="55"/>
      <c r="J970" s="55"/>
      <c r="K970" s="55" t="s">
        <v>26</v>
      </c>
      <c r="L970" s="34" t="str">
        <f>LEFT(A970, LEN(A970) - 5)
</f>
        <v>quality control determination</v>
      </c>
      <c r="M970" s="34" t="str">
        <f>VLOOKUP(L970,'Field Reference Guide'!$B$6:$N$220,13,false)</f>
        <v>Mpox</v>
      </c>
    </row>
    <row r="971">
      <c r="A971" s="34"/>
      <c r="B971" s="53" t="str">
        <f>IFERROR(__xludf.DUMMYFUNCTION("""COMPUTED_VALUE"""),"No quality control issues identified                    ")</f>
        <v>No quality control issues identified                    </v>
      </c>
      <c r="C971" s="34" t="str">
        <f>IFERROR(__xludf.DUMMYFUNCTION("""COMPUTED_VALUE"""),"GENEPIO:0100562")</f>
        <v>GENEPIO:0100562</v>
      </c>
      <c r="D971" s="29" t="str">
        <f>IFERROR(__xludf.DUMMYFUNCTION("""COMPUTED_VALUE"""),"A data item which is a statement confirming that quality control processes were carried out and no quality issues were detected.")</f>
        <v>A data item which is a statement confirming that quality control processes were carried out and no quality issues were detected.</v>
      </c>
      <c r="H971" s="55" t="s">
        <v>19</v>
      </c>
      <c r="I971" s="55" t="s">
        <v>19</v>
      </c>
      <c r="J971" s="55" t="s">
        <v>19</v>
      </c>
      <c r="K971" s="55" t="str">
        <f t="shared" ref="K971:K976" si="64">K970</f>
        <v>Mpox</v>
      </c>
      <c r="M971" s="57" t="s">
        <v>26</v>
      </c>
    </row>
    <row r="972">
      <c r="A972" s="34"/>
      <c r="B972" s="53" t="str">
        <f>IFERROR(__xludf.DUMMYFUNCTION("""COMPUTED_VALUE"""),"Sequence passed quality control                    ")</f>
        <v>Sequence passed quality control                    </v>
      </c>
      <c r="C972" s="34" t="str">
        <f>IFERROR(__xludf.DUMMYFUNCTION("""COMPUTED_VALUE"""),"GENEPIO:0100563")</f>
        <v>GENEPIO:0100563</v>
      </c>
      <c r="D972" s="29" t="str">
        <f>IFERROR(__xludf.DUMMYFUNCTION("""COMPUTED_VALUE"""),"A data item which is a statement confirming that quality control processes were carried out and that the sequence met the assessment criteria.")</f>
        <v>A data item which is a statement confirming that quality control processes were carried out and that the sequence met the assessment criteria.</v>
      </c>
      <c r="H972" s="55" t="s">
        <v>19</v>
      </c>
      <c r="I972" s="55" t="s">
        <v>19</v>
      </c>
      <c r="J972" s="55" t="s">
        <v>19</v>
      </c>
      <c r="K972" s="55" t="str">
        <f t="shared" si="64"/>
        <v>Mpox</v>
      </c>
      <c r="M972" s="40"/>
    </row>
    <row r="973">
      <c r="A973" s="34"/>
      <c r="B973" s="53" t="str">
        <f>IFERROR(__xludf.DUMMYFUNCTION("""COMPUTED_VALUE"""),"Sequence failed quality control                    ")</f>
        <v>Sequence failed quality control                    </v>
      </c>
      <c r="C973" s="34" t="str">
        <f>IFERROR(__xludf.DUMMYFUNCTION("""COMPUTED_VALUE"""),"GENEPIO:0100564")</f>
        <v>GENEPIO:0100564</v>
      </c>
      <c r="D973" s="29" t="str">
        <f>IFERROR(__xludf.DUMMYFUNCTION("""COMPUTED_VALUE"""),"A data item which is a statement confirming that quality control processes were carried out and that the sequence did not meet the assessment criteria.")</f>
        <v>A data item which is a statement confirming that quality control processes were carried out and that the sequence did not meet the assessment criteria.</v>
      </c>
      <c r="H973" s="55" t="s">
        <v>19</v>
      </c>
      <c r="I973" s="55" t="s">
        <v>19</v>
      </c>
      <c r="J973" s="55" t="s">
        <v>19</v>
      </c>
      <c r="K973" s="55" t="str">
        <f t="shared" si="64"/>
        <v>Mpox</v>
      </c>
      <c r="M973" s="40"/>
    </row>
    <row r="974">
      <c r="A974" s="34"/>
      <c r="B974" s="53" t="str">
        <f>IFERROR(__xludf.DUMMYFUNCTION("""COMPUTED_VALUE"""),"Minor quality control issues identified                    ")</f>
        <v>Minor quality control issues identified                    </v>
      </c>
      <c r="C974" s="34" t="str">
        <f>IFERROR(__xludf.DUMMYFUNCTION("""COMPUTED_VALUE"""),"GENEPIO:0100565")</f>
        <v>GENEPIO:0100565</v>
      </c>
      <c r="D974" s="29" t="str">
        <f>IFERROR(__xludf.DUMMYFUNCTION("""COMPUTED_VALUE"""),"A data item which is a statement confirming that quality control processes were carried out and that the sequence did not meet the assessment criteria, however the issues detected were minor.")</f>
        <v>A data item which is a statement confirming that quality control processes were carried out and that the sequence did not meet the assessment criteria, however the issues detected were minor.</v>
      </c>
      <c r="H974" s="55" t="s">
        <v>19</v>
      </c>
      <c r="I974" s="55" t="s">
        <v>19</v>
      </c>
      <c r="J974" s="55" t="s">
        <v>19</v>
      </c>
      <c r="K974" s="55" t="str">
        <f t="shared" si="64"/>
        <v>Mpox</v>
      </c>
      <c r="M974" s="40"/>
    </row>
    <row r="975">
      <c r="A975" s="34"/>
      <c r="B975" s="53" t="str">
        <f>IFERROR(__xludf.DUMMYFUNCTION("""COMPUTED_VALUE"""),"Sequence flagged for potential quality control issues                    ")</f>
        <v>Sequence flagged for potential quality control issues                    </v>
      </c>
      <c r="C975" s="34" t="str">
        <f>IFERROR(__xludf.DUMMYFUNCTION("""COMPUTED_VALUE"""),"GENEPIO:0100566")</f>
        <v>GENEPIO:0100566</v>
      </c>
      <c r="D975" s="29" t="str">
        <f>IFERROR(__xludf.DUMMYFUNCTION("""COMPUTED_VALUE"""),"A data item which is a statement confirming that quality control processes were carried out however it is unclear whether the sequence meets the assessment criteria and the assessment requires review.")</f>
        <v>A data item which is a statement confirming that quality control processes were carried out however it is unclear whether the sequence meets the assessment criteria and the assessment requires review.</v>
      </c>
      <c r="H975" s="55" t="s">
        <v>19</v>
      </c>
      <c r="I975" s="55" t="s">
        <v>19</v>
      </c>
      <c r="J975" s="55" t="s">
        <v>19</v>
      </c>
      <c r="K975" s="55" t="str">
        <f t="shared" si="64"/>
        <v>Mpox</v>
      </c>
      <c r="M975" s="40"/>
    </row>
    <row r="976">
      <c r="A976" s="34"/>
      <c r="B976" s="53" t="str">
        <f>IFERROR(__xludf.DUMMYFUNCTION("""COMPUTED_VALUE"""),"Quality control not performed                    ")</f>
        <v>Quality control not performed                    </v>
      </c>
      <c r="C976" s="34" t="str">
        <f>IFERROR(__xludf.DUMMYFUNCTION("""COMPUTED_VALUE"""),"GENEPIO:0100567")</f>
        <v>GENEPIO:0100567</v>
      </c>
      <c r="D976" s="29" t="str">
        <f>IFERROR(__xludf.DUMMYFUNCTION("""COMPUTED_VALUE"""),"A data item which is a statement confirming that quality control processes have not been carried out.")</f>
        <v>A data item which is a statement confirming that quality control processes have not been carried out.</v>
      </c>
      <c r="H976" s="55" t="s">
        <v>19</v>
      </c>
      <c r="I976" s="55" t="s">
        <v>19</v>
      </c>
      <c r="J976" s="55" t="s">
        <v>19</v>
      </c>
      <c r="K976" s="55" t="str">
        <f t="shared" si="64"/>
        <v>Mpox</v>
      </c>
      <c r="M976" s="40"/>
    </row>
    <row r="977" hidden="1">
      <c r="A977" s="34" t="str">
        <f>IFERROR(__xludf.DUMMYFUNCTION("""COMPUTED_VALUE"""),"quality control determination international menu")</f>
        <v>quality control determination international menu</v>
      </c>
      <c r="B977" s="53" t="str">
        <f>IFERROR(__xludf.DUMMYFUNCTION("""COMPUTED_VALUE"""),"                    ")</f>
        <v>                    </v>
      </c>
      <c r="C977" s="34"/>
      <c r="D977" s="29"/>
      <c r="E977" s="34"/>
      <c r="F977" s="34"/>
      <c r="G977" s="34"/>
      <c r="H977" s="55"/>
      <c r="I977" s="55"/>
      <c r="J977" s="55"/>
      <c r="K977" s="59" t="s">
        <v>27</v>
      </c>
      <c r="L977" s="34" t="str">
        <f>LEFT(A977, LEN(A977) - 5)
</f>
        <v>quality control determination international</v>
      </c>
      <c r="M977" s="34" t="str">
        <f>VLOOKUP(L977,'Field Reference Guide'!$B$6:$N$220,13,false)</f>
        <v>#N/A</v>
      </c>
    </row>
    <row r="978" hidden="1">
      <c r="A978" s="34"/>
      <c r="B978" s="53" t="str">
        <f>IFERROR(__xludf.DUMMYFUNCTION("""COMPUTED_VALUE"""),"No quality control issues identified [GENEPIO:0100562]                    ")</f>
        <v>No quality control issues identified [GENEPIO:0100562]                    </v>
      </c>
      <c r="C978" s="34" t="str">
        <f>IFERROR(__xludf.DUMMYFUNCTION("""COMPUTED_VALUE"""),"GENEPIO:0100562")</f>
        <v>GENEPIO:0100562</v>
      </c>
      <c r="D978" s="29" t="str">
        <f>IFERROR(__xludf.DUMMYFUNCTION("""COMPUTED_VALUE"""),"A data item which is a statement confirming that quality control processes were carried out and no quality issues were detected.")</f>
        <v>A data item which is a statement confirming that quality control processes were carried out and no quality issues were detected.</v>
      </c>
      <c r="H978" s="55" t="s">
        <v>19</v>
      </c>
      <c r="I978" s="55" t="s">
        <v>19</v>
      </c>
      <c r="J978" s="55" t="s">
        <v>19</v>
      </c>
      <c r="K978" s="55" t="str">
        <f t="shared" ref="K978:K983" si="65">K977</f>
        <v>International</v>
      </c>
      <c r="M978" s="57" t="s">
        <v>28</v>
      </c>
    </row>
    <row r="979" hidden="1">
      <c r="A979" s="34"/>
      <c r="B979" s="53" t="str">
        <f>IFERROR(__xludf.DUMMYFUNCTION("""COMPUTED_VALUE"""),"Sequence passed quality control [GENEPIO:0100563]                    ")</f>
        <v>Sequence passed quality control [GENEPIO:0100563]                    </v>
      </c>
      <c r="C979" s="34" t="str">
        <f>IFERROR(__xludf.DUMMYFUNCTION("""COMPUTED_VALUE"""),"GENEPIO:0100563")</f>
        <v>GENEPIO:0100563</v>
      </c>
      <c r="D979" s="29" t="str">
        <f>IFERROR(__xludf.DUMMYFUNCTION("""COMPUTED_VALUE"""),"A data item which is a statement confirming that quality control processes were carried out and that the sequence met the assessment criteria.")</f>
        <v>A data item which is a statement confirming that quality control processes were carried out and that the sequence met the assessment criteria.</v>
      </c>
      <c r="H979" s="55" t="s">
        <v>19</v>
      </c>
      <c r="I979" s="55" t="s">
        <v>19</v>
      </c>
      <c r="J979" s="55" t="s">
        <v>19</v>
      </c>
      <c r="K979" s="55" t="str">
        <f t="shared" si="65"/>
        <v>International</v>
      </c>
      <c r="M979" s="40"/>
    </row>
    <row r="980" hidden="1">
      <c r="A980" s="34"/>
      <c r="B980" s="53" t="str">
        <f>IFERROR(__xludf.DUMMYFUNCTION("""COMPUTED_VALUE"""),"Sequence failed quality control [GENEPIO:0100564]                    ")</f>
        <v>Sequence failed quality control [GENEPIO:0100564]                    </v>
      </c>
      <c r="C980" s="34" t="str">
        <f>IFERROR(__xludf.DUMMYFUNCTION("""COMPUTED_VALUE"""),"GENEPIO:0100564")</f>
        <v>GENEPIO:0100564</v>
      </c>
      <c r="D980" s="29" t="str">
        <f>IFERROR(__xludf.DUMMYFUNCTION("""COMPUTED_VALUE"""),"A data item which is a statement confirming that quality control processes were carried out and that the sequence did not meet the assessment criteria.")</f>
        <v>A data item which is a statement confirming that quality control processes were carried out and that the sequence did not meet the assessment criteria.</v>
      </c>
      <c r="H980" s="55" t="s">
        <v>19</v>
      </c>
      <c r="I980" s="55" t="s">
        <v>19</v>
      </c>
      <c r="J980" s="55" t="s">
        <v>19</v>
      </c>
      <c r="K980" s="55" t="str">
        <f t="shared" si="65"/>
        <v>International</v>
      </c>
      <c r="M980" s="40"/>
    </row>
    <row r="981" hidden="1">
      <c r="A981" s="34"/>
      <c r="B981" s="53" t="str">
        <f>IFERROR(__xludf.DUMMYFUNCTION("""COMPUTED_VALUE"""),"Minor quality control issues identified [GENEPIO:0100565]                    ")</f>
        <v>Minor quality control issues identified [GENEPIO:0100565]                    </v>
      </c>
      <c r="C981" s="34" t="str">
        <f>IFERROR(__xludf.DUMMYFUNCTION("""COMPUTED_VALUE"""),"GENEPIO:0100565")</f>
        <v>GENEPIO:0100565</v>
      </c>
      <c r="D981" s="29" t="str">
        <f>IFERROR(__xludf.DUMMYFUNCTION("""COMPUTED_VALUE"""),"A data item which is a statement confirming that quality control processes were carried out and that the sequence did not meet the assessment criteria, however the issues detected were minor.")</f>
        <v>A data item which is a statement confirming that quality control processes were carried out and that the sequence did not meet the assessment criteria, however the issues detected were minor.</v>
      </c>
      <c r="H981" s="55" t="s">
        <v>19</v>
      </c>
      <c r="I981" s="55" t="s">
        <v>19</v>
      </c>
      <c r="J981" s="55" t="s">
        <v>19</v>
      </c>
      <c r="K981" s="55" t="str">
        <f t="shared" si="65"/>
        <v>International</v>
      </c>
      <c r="M981" s="40"/>
    </row>
    <row r="982" hidden="1">
      <c r="A982" s="34"/>
      <c r="B982" s="53" t="str">
        <f>IFERROR(__xludf.DUMMYFUNCTION("""COMPUTED_VALUE"""),"Sequence flagged for potential quality control issues [GENEPIO:0100566]                    ")</f>
        <v>Sequence flagged for potential quality control issues [GENEPIO:0100566]                    </v>
      </c>
      <c r="C982" s="34" t="str">
        <f>IFERROR(__xludf.DUMMYFUNCTION("""COMPUTED_VALUE"""),"GENEPIO:0100566")</f>
        <v>GENEPIO:0100566</v>
      </c>
      <c r="D982" s="29" t="str">
        <f>IFERROR(__xludf.DUMMYFUNCTION("""COMPUTED_VALUE"""),"A data item which is a statement confirming that quality control processes were carried out however it is unclear whether the sequence meets the assessment criteria and the assessment requires review.")</f>
        <v>A data item which is a statement confirming that quality control processes were carried out however it is unclear whether the sequence meets the assessment criteria and the assessment requires review.</v>
      </c>
      <c r="H982" s="55" t="s">
        <v>19</v>
      </c>
      <c r="I982" s="55" t="s">
        <v>19</v>
      </c>
      <c r="J982" s="55" t="s">
        <v>19</v>
      </c>
      <c r="K982" s="55" t="str">
        <f t="shared" si="65"/>
        <v>International</v>
      </c>
      <c r="M982" s="40"/>
    </row>
    <row r="983" hidden="1">
      <c r="A983" s="34"/>
      <c r="B983" s="53" t="str">
        <f>IFERROR(__xludf.DUMMYFUNCTION("""COMPUTED_VALUE"""),"Quality control not performed [GENEPIO:0100567]                    ")</f>
        <v>Quality control not performed [GENEPIO:0100567]                    </v>
      </c>
      <c r="C983" s="34" t="str">
        <f>IFERROR(__xludf.DUMMYFUNCTION("""COMPUTED_VALUE"""),"GENEPIO:0100567")</f>
        <v>GENEPIO:0100567</v>
      </c>
      <c r="D983" s="29" t="str">
        <f>IFERROR(__xludf.DUMMYFUNCTION("""COMPUTED_VALUE"""),"A data item which is a statement confirming that quality control processes have not been carried out.")</f>
        <v>A data item which is a statement confirming that quality control processes have not been carried out.</v>
      </c>
      <c r="H983" s="55" t="s">
        <v>19</v>
      </c>
      <c r="I983" s="55" t="s">
        <v>19</v>
      </c>
      <c r="J983" s="55" t="s">
        <v>19</v>
      </c>
      <c r="K983" s="55" t="str">
        <f t="shared" si="65"/>
        <v>International</v>
      </c>
      <c r="M983" s="40"/>
    </row>
    <row r="984">
      <c r="A984" s="34" t="str">
        <f>IFERROR(__xludf.DUMMYFUNCTION("""COMPUTED_VALUE"""),"quality control issues menu")</f>
        <v>quality control issues menu</v>
      </c>
      <c r="B984" s="53" t="str">
        <f>IFERROR(__xludf.DUMMYFUNCTION("""COMPUTED_VALUE"""),"                    ")</f>
        <v>                    </v>
      </c>
      <c r="C984" s="34"/>
      <c r="D984" s="29"/>
      <c r="E984" s="34"/>
      <c r="F984" s="34"/>
      <c r="G984" s="34"/>
      <c r="H984" s="55"/>
      <c r="I984" s="55"/>
      <c r="J984" s="55"/>
      <c r="K984" s="55" t="s">
        <v>26</v>
      </c>
      <c r="L984" s="34" t="str">
        <f>LEFT(A984, LEN(A984) - 5)
</f>
        <v>quality control issues</v>
      </c>
      <c r="M984" s="34" t="str">
        <f>VLOOKUP(L984,'Field Reference Guide'!$B$6:$N$220,13,false)</f>
        <v>Mpox</v>
      </c>
    </row>
    <row r="985">
      <c r="A985" s="34"/>
      <c r="B985" s="53" t="str">
        <f>IFERROR(__xludf.DUMMYFUNCTION("""COMPUTED_VALUE"""),"Low quality sequence                    ")</f>
        <v>Low quality sequence                    </v>
      </c>
      <c r="C985" s="34" t="str">
        <f>IFERROR(__xludf.DUMMYFUNCTION("""COMPUTED_VALUE"""),"GENEPIO:0100568")</f>
        <v>GENEPIO:0100568</v>
      </c>
      <c r="D985" s="29" t="str">
        <f>IFERROR(__xludf.DUMMYFUNCTION("""COMPUTED_VALUE"""),"A data item that describes sequence data that does not meet quality control thresholds.")</f>
        <v>A data item that describes sequence data that does not meet quality control thresholds.</v>
      </c>
      <c r="H985" s="55" t="s">
        <v>19</v>
      </c>
      <c r="I985" s="55" t="s">
        <v>19</v>
      </c>
      <c r="J985" s="55" t="s">
        <v>19</v>
      </c>
      <c r="K985" s="55" t="str">
        <f t="shared" ref="K985:K992" si="66">K984</f>
        <v>Mpox</v>
      </c>
      <c r="M985" s="57" t="s">
        <v>26</v>
      </c>
    </row>
    <row r="986">
      <c r="A986" s="34"/>
      <c r="B986" s="53" t="str">
        <f>IFERROR(__xludf.DUMMYFUNCTION("""COMPUTED_VALUE"""),"Sequence contaminated                    ")</f>
        <v>Sequence contaminated                    </v>
      </c>
      <c r="C986" s="34" t="str">
        <f>IFERROR(__xludf.DUMMYFUNCTION("""COMPUTED_VALUE"""),"GENEPIO:0100569")</f>
        <v>GENEPIO:0100569</v>
      </c>
      <c r="D986" s="29" t="str">
        <f>IFERROR(__xludf.DUMMYFUNCTION("""COMPUTED_VALUE"""),"A data item that describes sequence data that contains reads from unintended targets (e.g. other organisms, other samples) due to contamination so that it does not faithfully represent the genetic information from the biological source.")</f>
        <v>A data item that describes sequence data that contains reads from unintended targets (e.g. other organisms, other samples) due to contamination so that it does not faithfully represent the genetic information from the biological source.</v>
      </c>
      <c r="H986" s="55" t="s">
        <v>19</v>
      </c>
      <c r="I986" s="55" t="s">
        <v>19</v>
      </c>
      <c r="J986" s="55" t="s">
        <v>19</v>
      </c>
      <c r="K986" s="55" t="str">
        <f t="shared" si="66"/>
        <v>Mpox</v>
      </c>
      <c r="M986" s="40"/>
    </row>
    <row r="987">
      <c r="A987" s="34"/>
      <c r="B987" s="53" t="str">
        <f>IFERROR(__xludf.DUMMYFUNCTION("""COMPUTED_VALUE"""),"Low average genome coverage                    ")</f>
        <v>Low average genome coverage                    </v>
      </c>
      <c r="C987" s="34" t="str">
        <f>IFERROR(__xludf.DUMMYFUNCTION("""COMPUTED_VALUE"""),"GENEPIO:0100570")</f>
        <v>GENEPIO:0100570</v>
      </c>
      <c r="D987" s="29" t="str">
        <f>IFERROR(__xludf.DUMMYFUNCTION("""COMPUTED_VALUE"""),"A data item that describes sequence data in which the entire length of the genome is not sufficiently sequenced (low breadth of coverage), or particular positions of the genome are not sequenced a prescribed number of times (low depth of coverage).")</f>
        <v>A data item that describes sequence data in which the entire length of the genome is not sufficiently sequenced (low breadth of coverage), or particular positions of the genome are not sequenced a prescribed number of times (low depth of coverage).</v>
      </c>
      <c r="H987" s="55" t="s">
        <v>19</v>
      </c>
      <c r="I987" s="55" t="s">
        <v>19</v>
      </c>
      <c r="J987" s="55" t="s">
        <v>19</v>
      </c>
      <c r="K987" s="55" t="str">
        <f t="shared" si="66"/>
        <v>Mpox</v>
      </c>
      <c r="M987" s="40"/>
    </row>
    <row r="988">
      <c r="A988" s="34"/>
      <c r="B988" s="53" t="str">
        <f>IFERROR(__xludf.DUMMYFUNCTION("""COMPUTED_VALUE"""),"Low percent genome captured                    ")</f>
        <v>Low percent genome captured                    </v>
      </c>
      <c r="C988" s="34" t="str">
        <f>IFERROR(__xludf.DUMMYFUNCTION("""COMPUTED_VALUE"""),"GENEPIO:0100571")</f>
        <v>GENEPIO:0100571</v>
      </c>
      <c r="D988" s="29" t="str">
        <f>IFERROR(__xludf.DUMMYFUNCTION("""COMPUTED_VALUE"""),"A data item that describes sequence data in which the entire length of the genome is not sufficiently sequenced (low breadth of coverage).")</f>
        <v>A data item that describes sequence data in which the entire length of the genome is not sufficiently sequenced (low breadth of coverage).</v>
      </c>
      <c r="H988" s="55" t="s">
        <v>19</v>
      </c>
      <c r="I988" s="55" t="s">
        <v>19</v>
      </c>
      <c r="J988" s="55" t="s">
        <v>19</v>
      </c>
      <c r="K988" s="55" t="str">
        <f t="shared" si="66"/>
        <v>Mpox</v>
      </c>
      <c r="M988" s="40"/>
    </row>
    <row r="989">
      <c r="A989" s="34"/>
      <c r="B989" s="53" t="str">
        <f>IFERROR(__xludf.DUMMYFUNCTION("""COMPUTED_VALUE"""),"Read lengths shorter than expected                    ")</f>
        <v>Read lengths shorter than expected                    </v>
      </c>
      <c r="C989" s="34" t="str">
        <f>IFERROR(__xludf.DUMMYFUNCTION("""COMPUTED_VALUE"""),"GENEPIO:0100572")</f>
        <v>GENEPIO:0100572</v>
      </c>
      <c r="D989" s="29" t="str">
        <f>IFERROR(__xludf.DUMMYFUNCTION("""COMPUTED_VALUE"""),"A data item that describes average sequence read lengths that are below the expected size range given a particular sequencing instrument, reagents and conditions.")</f>
        <v>A data item that describes average sequence read lengths that are below the expected size range given a particular sequencing instrument, reagents and conditions.</v>
      </c>
      <c r="H989" s="55" t="s">
        <v>19</v>
      </c>
      <c r="I989" s="55" t="s">
        <v>19</v>
      </c>
      <c r="J989" s="55" t="s">
        <v>19</v>
      </c>
      <c r="K989" s="55" t="str">
        <f t="shared" si="66"/>
        <v>Mpox</v>
      </c>
      <c r="M989" s="40"/>
    </row>
    <row r="990">
      <c r="A990" s="34"/>
      <c r="B990" s="53" t="str">
        <f>IFERROR(__xludf.DUMMYFUNCTION("""COMPUTED_VALUE"""),"Sequence amplification artifacts                    ")</f>
        <v>Sequence amplification artifacts                    </v>
      </c>
      <c r="C990" s="34" t="str">
        <f>IFERROR(__xludf.DUMMYFUNCTION("""COMPUTED_VALUE"""),"GENEPIO:0100573")</f>
        <v>GENEPIO:0100573</v>
      </c>
      <c r="D990" s="29" t="str">
        <f>IFERROR(__xludf.DUMMYFUNCTION("""COMPUTED_VALUE"""),"A data item that describes sequence data containing errors generated during the polymerase chain reaction (PCR) amplification process during library generation (e.g. mutations, altered read distribution, amplicon dropouts).")</f>
        <v>A data item that describes sequence data containing errors generated during the polymerase chain reaction (PCR) amplification process during library generation (e.g. mutations, altered read distribution, amplicon dropouts).</v>
      </c>
      <c r="H990" s="55" t="s">
        <v>19</v>
      </c>
      <c r="I990" s="55" t="s">
        <v>19</v>
      </c>
      <c r="J990" s="55" t="s">
        <v>19</v>
      </c>
      <c r="K990" s="55" t="str">
        <f t="shared" si="66"/>
        <v>Mpox</v>
      </c>
      <c r="M990" s="40"/>
    </row>
    <row r="991">
      <c r="A991" s="34"/>
      <c r="B991" s="53" t="str">
        <f>IFERROR(__xludf.DUMMYFUNCTION("""COMPUTED_VALUE"""),"Low signal to noise ratio                    ")</f>
        <v>Low signal to noise ratio                    </v>
      </c>
      <c r="C991" s="34" t="str">
        <f>IFERROR(__xludf.DUMMYFUNCTION("""COMPUTED_VALUE"""),"GENEPIO:0100574")</f>
        <v>GENEPIO:0100574</v>
      </c>
      <c r="D991" s="29" t="str">
        <f>IFERROR(__xludf.DUMMYFUNCTION("""COMPUTED_VALUE"""),"A data item that describes sequence data containing more errors or undetermined bases (noise) than sequence representing the biological source (signal).")</f>
        <v>A data item that describes sequence data containing more errors or undetermined bases (noise) than sequence representing the biological source (signal).</v>
      </c>
      <c r="H991" s="55" t="s">
        <v>19</v>
      </c>
      <c r="I991" s="55" t="s">
        <v>19</v>
      </c>
      <c r="J991" s="55" t="s">
        <v>19</v>
      </c>
      <c r="K991" s="55" t="str">
        <f t="shared" si="66"/>
        <v>Mpox</v>
      </c>
      <c r="M991" s="40"/>
    </row>
    <row r="992">
      <c r="A992" s="34"/>
      <c r="B992" s="53" t="str">
        <f>IFERROR(__xludf.DUMMYFUNCTION("""COMPUTED_VALUE"""),"Low coverage of characteristic mutations                    ")</f>
        <v>Low coverage of characteristic mutations                    </v>
      </c>
      <c r="C992" s="34" t="str">
        <f>IFERROR(__xludf.DUMMYFUNCTION("""COMPUTED_VALUE"""),"GENEPIO:0100575")</f>
        <v>GENEPIO:0100575</v>
      </c>
      <c r="D992" s="29" t="str">
        <f>IFERROR(__xludf.DUMMYFUNCTION("""COMPUTED_VALUE"""),"A data item that describes sequence data that contains a lower than expected number of mutations that are usually observed in the reference sequence.")</f>
        <v>A data item that describes sequence data that contains a lower than expected number of mutations that are usually observed in the reference sequence.</v>
      </c>
      <c r="H992" s="55" t="s">
        <v>19</v>
      </c>
      <c r="I992" s="55" t="s">
        <v>19</v>
      </c>
      <c r="J992" s="55" t="s">
        <v>19</v>
      </c>
      <c r="K992" s="55" t="str">
        <f t="shared" si="66"/>
        <v>Mpox</v>
      </c>
      <c r="M992" s="40"/>
    </row>
    <row r="993" hidden="1">
      <c r="A993" s="34" t="str">
        <f>IFERROR(__xludf.DUMMYFUNCTION("""COMPUTED_VALUE"""),"quality control issues international menu")</f>
        <v>quality control issues international menu</v>
      </c>
      <c r="B993" s="53" t="str">
        <f>IFERROR(__xludf.DUMMYFUNCTION("""COMPUTED_VALUE"""),"                    ")</f>
        <v>                    </v>
      </c>
      <c r="C993" s="34"/>
      <c r="D993" s="29"/>
      <c r="E993" s="34"/>
      <c r="F993" s="34"/>
      <c r="G993" s="34"/>
      <c r="H993" s="55"/>
      <c r="I993" s="55"/>
      <c r="J993" s="55"/>
      <c r="K993" s="59" t="s">
        <v>27</v>
      </c>
      <c r="L993" s="34" t="str">
        <f>LEFT(A993, LEN(A993) - 5)
</f>
        <v>quality control issues international</v>
      </c>
      <c r="M993" s="34" t="str">
        <f>VLOOKUP(L993,'Field Reference Guide'!$B$6:$N$220,13,false)</f>
        <v>#N/A</v>
      </c>
    </row>
    <row r="994" hidden="1">
      <c r="A994" s="34"/>
      <c r="B994" s="53" t="str">
        <f>IFERROR(__xludf.DUMMYFUNCTION("""COMPUTED_VALUE"""),"Low quality sequence [GENEPIO:0100568]                    ")</f>
        <v>Low quality sequence [GENEPIO:0100568]                    </v>
      </c>
      <c r="C994" s="34" t="str">
        <f>IFERROR(__xludf.DUMMYFUNCTION("""COMPUTED_VALUE"""),"GENEPIO:0100568")</f>
        <v>GENEPIO:0100568</v>
      </c>
      <c r="D994" s="29" t="str">
        <f>IFERROR(__xludf.DUMMYFUNCTION("""COMPUTED_VALUE"""),"A data item that describes sequence data that does not meet quality control thresholds.")</f>
        <v>A data item that describes sequence data that does not meet quality control thresholds.</v>
      </c>
      <c r="K994" s="55" t="str">
        <f t="shared" ref="K994:K1002" si="67">K993</f>
        <v>International</v>
      </c>
      <c r="M994" s="57" t="s">
        <v>28</v>
      </c>
    </row>
    <row r="995" hidden="1">
      <c r="A995" s="34"/>
      <c r="B995" s="53" t="str">
        <f>IFERROR(__xludf.DUMMYFUNCTION("""COMPUTED_VALUE"""),"Sequence contaminated [GENEPIO:0100569]                    ")</f>
        <v>Sequence contaminated [GENEPIO:0100569]                    </v>
      </c>
      <c r="C995" s="34" t="str">
        <f>IFERROR(__xludf.DUMMYFUNCTION("""COMPUTED_VALUE"""),"GENEPIO:0100569")</f>
        <v>GENEPIO:0100569</v>
      </c>
      <c r="D995" s="29" t="str">
        <f>IFERROR(__xludf.DUMMYFUNCTION("""COMPUTED_VALUE"""),"A data item that describes sequence data that contains reads from unintended targets (e.g. other organisms, other samples) due to contamination so that it does not faithfully represent the genetic information from the biological source.")</f>
        <v>A data item that describes sequence data that contains reads from unintended targets (e.g. other organisms, other samples) due to contamination so that it does not faithfully represent the genetic information from the biological source.</v>
      </c>
      <c r="H995" s="55" t="s">
        <v>19</v>
      </c>
      <c r="I995" s="55" t="s">
        <v>19</v>
      </c>
      <c r="J995" s="55" t="s">
        <v>19</v>
      </c>
      <c r="K995" s="55" t="str">
        <f t="shared" si="67"/>
        <v>International</v>
      </c>
      <c r="M995" s="40"/>
    </row>
    <row r="996" hidden="1">
      <c r="A996" s="34"/>
      <c r="B996" s="53" t="str">
        <f>IFERROR(__xludf.DUMMYFUNCTION("""COMPUTED_VALUE"""),"Low average genome coverage [GENEPIO:0100570]                    ")</f>
        <v>Low average genome coverage [GENEPIO:0100570]                    </v>
      </c>
      <c r="C996" s="34" t="str">
        <f>IFERROR(__xludf.DUMMYFUNCTION("""COMPUTED_VALUE"""),"GENEPIO:0100570")</f>
        <v>GENEPIO:0100570</v>
      </c>
      <c r="D996" s="29" t="str">
        <f>IFERROR(__xludf.DUMMYFUNCTION("""COMPUTED_VALUE"""),"A data item that describes sequence data in which the entire length of the genome is not sufficiently sequenced (low breadth of coverage), or particular positions of the genome are not sequenced a prescribed number of times (low depth of coverage).")</f>
        <v>A data item that describes sequence data in which the entire length of the genome is not sufficiently sequenced (low breadth of coverage), or particular positions of the genome are not sequenced a prescribed number of times (low depth of coverage).</v>
      </c>
      <c r="H996" s="55" t="s">
        <v>19</v>
      </c>
      <c r="I996" s="55" t="s">
        <v>19</v>
      </c>
      <c r="J996" s="55" t="s">
        <v>19</v>
      </c>
      <c r="K996" s="55" t="str">
        <f t="shared" si="67"/>
        <v>International</v>
      </c>
      <c r="M996" s="40"/>
    </row>
    <row r="997" hidden="1">
      <c r="A997" s="34"/>
      <c r="B997" s="53" t="str">
        <f>IFERROR(__xludf.DUMMYFUNCTION("""COMPUTED_VALUE"""),"Low percent genome captured [GENEPIO:0100571]                    ")</f>
        <v>Low percent genome captured [GENEPIO:0100571]                    </v>
      </c>
      <c r="C997" s="34" t="str">
        <f>IFERROR(__xludf.DUMMYFUNCTION("""COMPUTED_VALUE"""),"GENEPIO:0100571")</f>
        <v>GENEPIO:0100571</v>
      </c>
      <c r="D997" s="29" t="str">
        <f>IFERROR(__xludf.DUMMYFUNCTION("""COMPUTED_VALUE"""),"A data item that describes sequence data in which the entire length of the genome is not sufficiently sequenced (low breadth of coverage).")</f>
        <v>A data item that describes sequence data in which the entire length of the genome is not sufficiently sequenced (low breadth of coverage).</v>
      </c>
      <c r="H997" s="55" t="s">
        <v>19</v>
      </c>
      <c r="I997" s="55" t="s">
        <v>19</v>
      </c>
      <c r="J997" s="55" t="s">
        <v>19</v>
      </c>
      <c r="K997" s="55" t="str">
        <f t="shared" si="67"/>
        <v>International</v>
      </c>
      <c r="M997" s="40"/>
    </row>
    <row r="998" hidden="1">
      <c r="A998" s="34"/>
      <c r="B998" s="53" t="str">
        <f>IFERROR(__xludf.DUMMYFUNCTION("""COMPUTED_VALUE"""),"Read lengths shorter than expected [GENEPIO:0100572]                    ")</f>
        <v>Read lengths shorter than expected [GENEPIO:0100572]                    </v>
      </c>
      <c r="C998" s="34" t="str">
        <f>IFERROR(__xludf.DUMMYFUNCTION("""COMPUTED_VALUE"""),"GENEPIO:0100572")</f>
        <v>GENEPIO:0100572</v>
      </c>
      <c r="D998" s="29" t="str">
        <f>IFERROR(__xludf.DUMMYFUNCTION("""COMPUTED_VALUE"""),"A data item that describes average sequence read lengths that are below the expected size range given a particular sequencing instrument, reagents and conditions.")</f>
        <v>A data item that describes average sequence read lengths that are below the expected size range given a particular sequencing instrument, reagents and conditions.</v>
      </c>
      <c r="H998" s="55" t="s">
        <v>19</v>
      </c>
      <c r="I998" s="55" t="s">
        <v>19</v>
      </c>
      <c r="J998" s="55" t="s">
        <v>19</v>
      </c>
      <c r="K998" s="55" t="str">
        <f t="shared" si="67"/>
        <v>International</v>
      </c>
      <c r="M998" s="40"/>
    </row>
    <row r="999" hidden="1">
      <c r="A999" s="34"/>
      <c r="B999" s="53" t="str">
        <f>IFERROR(__xludf.DUMMYFUNCTION("""COMPUTED_VALUE"""),"Sequence amplification artifacts [GENEPIO:0100573]                    ")</f>
        <v>Sequence amplification artifacts [GENEPIO:0100573]                    </v>
      </c>
      <c r="C999" s="34" t="str">
        <f>IFERROR(__xludf.DUMMYFUNCTION("""COMPUTED_VALUE"""),"GENEPIO:0100573")</f>
        <v>GENEPIO:0100573</v>
      </c>
      <c r="D999" s="29" t="str">
        <f>IFERROR(__xludf.DUMMYFUNCTION("""COMPUTED_VALUE"""),"A data item that describes sequence data containing errors generated during the polymerase chain reaction (PCR) amplification process during library generation (e.g. mutations, altered read distribution, amplicon dropouts).")</f>
        <v>A data item that describes sequence data containing errors generated during the polymerase chain reaction (PCR) amplification process during library generation (e.g. mutations, altered read distribution, amplicon dropouts).</v>
      </c>
      <c r="H999" s="55" t="s">
        <v>19</v>
      </c>
      <c r="I999" s="55" t="s">
        <v>19</v>
      </c>
      <c r="J999" s="55" t="s">
        <v>19</v>
      </c>
      <c r="K999" s="55" t="str">
        <f t="shared" si="67"/>
        <v>International</v>
      </c>
      <c r="M999" s="40"/>
    </row>
    <row r="1000" hidden="1">
      <c r="A1000" s="34"/>
      <c r="B1000" s="53" t="str">
        <f>IFERROR(__xludf.DUMMYFUNCTION("""COMPUTED_VALUE"""),"Low signal to noise ratio [GENEPIO:0100574]                    ")</f>
        <v>Low signal to noise ratio [GENEPIO:0100574]                    </v>
      </c>
      <c r="C1000" s="34" t="str">
        <f>IFERROR(__xludf.DUMMYFUNCTION("""COMPUTED_VALUE"""),"GENEPIO:0100574")</f>
        <v>GENEPIO:0100574</v>
      </c>
      <c r="D1000" s="29" t="str">
        <f>IFERROR(__xludf.DUMMYFUNCTION("""COMPUTED_VALUE"""),"A data item that describes sequence data containing more errors or undetermined bases (noise) than sequence representing the biological source (signal).")</f>
        <v>A data item that describes sequence data containing more errors or undetermined bases (noise) than sequence representing the biological source (signal).</v>
      </c>
      <c r="H1000" s="55" t="s">
        <v>19</v>
      </c>
      <c r="I1000" s="55" t="s">
        <v>19</v>
      </c>
      <c r="J1000" s="55" t="s">
        <v>19</v>
      </c>
      <c r="K1000" s="55" t="str">
        <f t="shared" si="67"/>
        <v>International</v>
      </c>
      <c r="M1000" s="40"/>
    </row>
    <row r="1001" hidden="1">
      <c r="A1001" s="34"/>
      <c r="B1001" s="53" t="str">
        <f>IFERROR(__xludf.DUMMYFUNCTION("""COMPUTED_VALUE"""),"Low coverage of characteristic mutations [GENEPIO:0100575]                    ")</f>
        <v>Low coverage of characteristic mutations [GENEPIO:0100575]                    </v>
      </c>
      <c r="C1001" s="34" t="str">
        <f>IFERROR(__xludf.DUMMYFUNCTION("""COMPUTED_VALUE"""),"GENEPIO:0100575")</f>
        <v>GENEPIO:0100575</v>
      </c>
      <c r="D1001" s="29" t="str">
        <f>IFERROR(__xludf.DUMMYFUNCTION("""COMPUTED_VALUE"""),"A data item that describes sequence data that contains a lower than expected number of mutations that are usually observed in the reference sequence.")</f>
        <v>A data item that describes sequence data that contains a lower than expected number of mutations that are usually observed in the reference sequence.</v>
      </c>
      <c r="H1001" s="55" t="s">
        <v>19</v>
      </c>
      <c r="I1001" s="55" t="s">
        <v>19</v>
      </c>
      <c r="J1001" s="55" t="s">
        <v>19</v>
      </c>
      <c r="K1001" s="55" t="str">
        <f t="shared" si="67"/>
        <v>International</v>
      </c>
      <c r="M1001" s="40"/>
    </row>
    <row r="1002" hidden="1">
      <c r="A1002" s="34"/>
      <c r="B1002" s="53" t="str">
        <f>IFERROR(__xludf.DUMMYFUNCTION("""COMPUTED_VALUE"""),"                    ")</f>
        <v>                    </v>
      </c>
      <c r="C1002" s="34"/>
      <c r="D1002" s="29"/>
      <c r="H1002" s="55" t="s">
        <v>19</v>
      </c>
      <c r="I1002" s="55" t="s">
        <v>19</v>
      </c>
      <c r="J1002" s="55" t="s">
        <v>19</v>
      </c>
      <c r="K1002" s="55" t="str">
        <f t="shared" si="67"/>
        <v>International</v>
      </c>
      <c r="M1002" s="58"/>
    </row>
    <row r="1003">
      <c r="A1003" s="34" t="str">
        <f>IFERROR(__xludf.DUMMYFUNCTION("""COMPUTED_VALUE"""),"sequence submitted by menu")</f>
        <v>sequence submitted by menu</v>
      </c>
      <c r="B1003" s="53" t="str">
        <f>IFERROR(__xludf.DUMMYFUNCTION("""COMPUTED_VALUE"""),"                    ")</f>
        <v>                    </v>
      </c>
      <c r="C1003" s="34"/>
      <c r="D1003" s="29"/>
      <c r="E1003" s="34"/>
      <c r="F1003" s="34"/>
      <c r="G1003" s="34"/>
      <c r="H1003" s="55"/>
      <c r="I1003" s="55"/>
      <c r="J1003" s="55"/>
      <c r="K1003" s="55" t="s">
        <v>26</v>
      </c>
      <c r="L1003" s="34" t="str">
        <f>LEFT(A1003, LEN(A1003) - 5)
</f>
        <v>sequence submitted by</v>
      </c>
      <c r="M1003" s="34" t="str">
        <f>VLOOKUP(L1003,'Field Reference Guide'!$B$6:$N$220,13,false)</f>
        <v>Mpox</v>
      </c>
    </row>
    <row r="1004">
      <c r="A1004" s="34"/>
      <c r="B1004" s="53" t="str">
        <f>IFERROR(__xludf.DUMMYFUNCTION("""COMPUTED_VALUE"""),"Alberta Precision Labs (APL)                    ")</f>
        <v>Alberta Precision Labs (APL)                    </v>
      </c>
      <c r="C1004" s="34"/>
      <c r="D1004" s="29" t="str">
        <f>IFERROR(__xludf.DUMMYFUNCTION("""COMPUTED_VALUE"""),"")</f>
        <v/>
      </c>
      <c r="H1004" s="55" t="s">
        <v>19</v>
      </c>
      <c r="I1004" s="55" t="s">
        <v>19</v>
      </c>
      <c r="J1004" s="55" t="s">
        <v>19</v>
      </c>
      <c r="K1004" s="55" t="str">
        <f t="shared" ref="K1004:K1028" si="68">K1003</f>
        <v>Mpox</v>
      </c>
      <c r="M1004" s="57" t="s">
        <v>26</v>
      </c>
    </row>
    <row r="1005">
      <c r="A1005" s="34"/>
      <c r="B1005" s="53" t="str">
        <f>IFERROR(__xludf.DUMMYFUNCTION("""COMPUTED_VALUE"""),"     Alberta ProvLab North (APLN)               ")</f>
        <v>     Alberta ProvLab North (APLN)               </v>
      </c>
      <c r="C1005" s="34"/>
      <c r="D1005" s="29"/>
      <c r="H1005" s="55" t="s">
        <v>19</v>
      </c>
      <c r="I1005" s="55" t="s">
        <v>19</v>
      </c>
      <c r="J1005" s="55" t="s">
        <v>19</v>
      </c>
      <c r="K1005" s="55" t="str">
        <f t="shared" si="68"/>
        <v>Mpox</v>
      </c>
      <c r="M1005" s="40"/>
    </row>
    <row r="1006">
      <c r="A1006" s="34"/>
      <c r="B1006" s="53" t="str">
        <f>IFERROR(__xludf.DUMMYFUNCTION("""COMPUTED_VALUE"""),"     Alberta ProvLab South (APLS)               ")</f>
        <v>     Alberta ProvLab South (APLS)               </v>
      </c>
      <c r="C1006" s="34"/>
      <c r="D1006" s="29"/>
      <c r="H1006" s="55" t="s">
        <v>19</v>
      </c>
      <c r="I1006" s="55" t="s">
        <v>19</v>
      </c>
      <c r="J1006" s="55" t="s">
        <v>19</v>
      </c>
      <c r="K1006" s="55" t="str">
        <f t="shared" si="68"/>
        <v>Mpox</v>
      </c>
      <c r="M1006" s="40"/>
    </row>
    <row r="1007">
      <c r="A1007" s="34"/>
      <c r="B1007" s="53" t="str">
        <f>IFERROR(__xludf.DUMMYFUNCTION("""COMPUTED_VALUE"""),"BCCDC Public Health Laboratory                    ")</f>
        <v>BCCDC Public Health Laboratory                    </v>
      </c>
      <c r="C1007" s="34"/>
      <c r="D1007" s="29" t="str">
        <f>IFERROR(__xludf.DUMMYFUNCTION("""COMPUTED_VALUE"""),"")</f>
        <v/>
      </c>
      <c r="H1007" s="55" t="s">
        <v>19</v>
      </c>
      <c r="I1007" s="55" t="s">
        <v>19</v>
      </c>
      <c r="J1007" s="55" t="s">
        <v>19</v>
      </c>
      <c r="K1007" s="55" t="str">
        <f t="shared" si="68"/>
        <v>Mpox</v>
      </c>
      <c r="M1007" s="40"/>
    </row>
    <row r="1008">
      <c r="A1008" s="34"/>
      <c r="B1008" s="53" t="str">
        <f>IFERROR(__xludf.DUMMYFUNCTION("""COMPUTED_VALUE"""),"Canadore College                    ")</f>
        <v>Canadore College                    </v>
      </c>
      <c r="C1008" s="34"/>
      <c r="D1008" s="29" t="str">
        <f>IFERROR(__xludf.DUMMYFUNCTION("""COMPUTED_VALUE"""),"")</f>
        <v/>
      </c>
      <c r="H1008" s="55" t="s">
        <v>19</v>
      </c>
      <c r="I1008" s="55" t="s">
        <v>19</v>
      </c>
      <c r="J1008" s="55" t="s">
        <v>19</v>
      </c>
      <c r="K1008" s="55" t="str">
        <f t="shared" si="68"/>
        <v>Mpox</v>
      </c>
      <c r="M1008" s="40"/>
    </row>
    <row r="1009">
      <c r="A1009" s="34"/>
      <c r="B1009" s="53" t="str">
        <f>IFERROR(__xludf.DUMMYFUNCTION("""COMPUTED_VALUE"""),"The Centre for Applied Genomics (TCAG)                    ")</f>
        <v>The Centre for Applied Genomics (TCAG)                    </v>
      </c>
      <c r="C1009" s="34"/>
      <c r="D1009" s="29" t="str">
        <f>IFERROR(__xludf.DUMMYFUNCTION("""COMPUTED_VALUE"""),"")</f>
        <v/>
      </c>
      <c r="H1009" s="55" t="s">
        <v>19</v>
      </c>
      <c r="I1009" s="55" t="s">
        <v>19</v>
      </c>
      <c r="J1009" s="55" t="s">
        <v>19</v>
      </c>
      <c r="K1009" s="55" t="str">
        <f t="shared" si="68"/>
        <v>Mpox</v>
      </c>
      <c r="M1009" s="40"/>
    </row>
    <row r="1010">
      <c r="A1010" s="34"/>
      <c r="B1010" s="53" t="str">
        <f>IFERROR(__xludf.DUMMYFUNCTION("""COMPUTED_VALUE"""),"Dynacare                    ")</f>
        <v>Dynacare                    </v>
      </c>
      <c r="C1010" s="34"/>
      <c r="D1010" s="29" t="str">
        <f>IFERROR(__xludf.DUMMYFUNCTION("""COMPUTED_VALUE"""),"")</f>
        <v/>
      </c>
      <c r="H1010" s="55" t="s">
        <v>19</v>
      </c>
      <c r="I1010" s="55" t="s">
        <v>19</v>
      </c>
      <c r="J1010" s="55" t="s">
        <v>19</v>
      </c>
      <c r="K1010" s="55" t="str">
        <f t="shared" si="68"/>
        <v>Mpox</v>
      </c>
      <c r="M1010" s="40"/>
    </row>
    <row r="1011">
      <c r="A1011" s="34"/>
      <c r="B1011" s="53" t="str">
        <f>IFERROR(__xludf.DUMMYFUNCTION("""COMPUTED_VALUE"""),"Dynacare (Brampton)                    ")</f>
        <v>Dynacare (Brampton)                    </v>
      </c>
      <c r="C1011" s="34"/>
      <c r="D1011" s="29" t="str">
        <f>IFERROR(__xludf.DUMMYFUNCTION("""COMPUTED_VALUE"""),"")</f>
        <v/>
      </c>
      <c r="H1011" s="55" t="s">
        <v>19</v>
      </c>
      <c r="I1011" s="55" t="s">
        <v>19</v>
      </c>
      <c r="J1011" s="55" t="s">
        <v>19</v>
      </c>
      <c r="K1011" s="55" t="str">
        <f t="shared" si="68"/>
        <v>Mpox</v>
      </c>
      <c r="M1011" s="40"/>
    </row>
    <row r="1012">
      <c r="A1012" s="34"/>
      <c r="B1012" s="53" t="str">
        <f>IFERROR(__xludf.DUMMYFUNCTION("""COMPUTED_VALUE"""),"Dynacare (Manitoba)                    ")</f>
        <v>Dynacare (Manitoba)                    </v>
      </c>
      <c r="C1012" s="34"/>
      <c r="D1012" s="29" t="str">
        <f>IFERROR(__xludf.DUMMYFUNCTION("""COMPUTED_VALUE"""),"")</f>
        <v/>
      </c>
      <c r="H1012" s="55" t="s">
        <v>19</v>
      </c>
      <c r="I1012" s="55" t="s">
        <v>19</v>
      </c>
      <c r="J1012" s="55" t="s">
        <v>19</v>
      </c>
      <c r="K1012" s="55" t="str">
        <f t="shared" si="68"/>
        <v>Mpox</v>
      </c>
      <c r="M1012" s="40"/>
    </row>
    <row r="1013">
      <c r="A1013" s="34"/>
      <c r="B1013" s="53" t="str">
        <f>IFERROR(__xludf.DUMMYFUNCTION("""COMPUTED_VALUE"""),"The Hospital for Sick Children (SickKids)                    ")</f>
        <v>The Hospital for Sick Children (SickKids)                    </v>
      </c>
      <c r="C1013" s="34"/>
      <c r="D1013" s="29" t="str">
        <f>IFERROR(__xludf.DUMMYFUNCTION("""COMPUTED_VALUE"""),"")</f>
        <v/>
      </c>
      <c r="H1013" s="55" t="s">
        <v>19</v>
      </c>
      <c r="I1013" s="55" t="s">
        <v>19</v>
      </c>
      <c r="J1013" s="55" t="s">
        <v>19</v>
      </c>
      <c r="K1013" s="55" t="str">
        <f t="shared" si="68"/>
        <v>Mpox</v>
      </c>
      <c r="M1013" s="40"/>
    </row>
    <row r="1014">
      <c r="A1014" s="34"/>
      <c r="B1014" s="53" t="str">
        <f>IFERROR(__xludf.DUMMYFUNCTION("""COMPUTED_VALUE"""),"Laboratoire de santé publique du Québec (LSPQ)                    ")</f>
        <v>Laboratoire de santé publique du Québec (LSPQ)                    </v>
      </c>
      <c r="C1014" s="34"/>
      <c r="D1014" s="29" t="str">
        <f>IFERROR(__xludf.DUMMYFUNCTION("""COMPUTED_VALUE"""),"")</f>
        <v/>
      </c>
      <c r="H1014" s="55" t="s">
        <v>19</v>
      </c>
      <c r="I1014" s="55" t="s">
        <v>19</v>
      </c>
      <c r="J1014" s="55" t="s">
        <v>19</v>
      </c>
      <c r="K1014" s="55" t="str">
        <f t="shared" si="68"/>
        <v>Mpox</v>
      </c>
      <c r="M1014" s="40"/>
    </row>
    <row r="1015">
      <c r="A1015" s="34"/>
      <c r="B1015" s="53" t="str">
        <f>IFERROR(__xludf.DUMMYFUNCTION("""COMPUTED_VALUE"""),"Manitoba Cadham Provincial Laboratory                    ")</f>
        <v>Manitoba Cadham Provincial Laboratory                    </v>
      </c>
      <c r="C1015" s="34"/>
      <c r="D1015" s="29" t="str">
        <f>IFERROR(__xludf.DUMMYFUNCTION("""COMPUTED_VALUE"""),"")</f>
        <v/>
      </c>
      <c r="H1015" s="55" t="s">
        <v>19</v>
      </c>
      <c r="I1015" s="55" t="s">
        <v>19</v>
      </c>
      <c r="J1015" s="55" t="s">
        <v>19</v>
      </c>
      <c r="K1015" s="55" t="str">
        <f t="shared" si="68"/>
        <v>Mpox</v>
      </c>
      <c r="M1015" s="40"/>
    </row>
    <row r="1016">
      <c r="A1016" s="34"/>
      <c r="B1016" s="53" t="str">
        <f>IFERROR(__xludf.DUMMYFUNCTION("""COMPUTED_VALUE"""),"McGill University                    ")</f>
        <v>McGill University                    </v>
      </c>
      <c r="C1016" s="34"/>
      <c r="D1016" s="29" t="str">
        <f>IFERROR(__xludf.DUMMYFUNCTION("""COMPUTED_VALUE"""),"McGill University is an English-language public research university located in Montreal, Quebec, Canada.")</f>
        <v>McGill University is an English-language public research university located in Montreal, Quebec, Canada.</v>
      </c>
      <c r="H1016" s="55" t="s">
        <v>19</v>
      </c>
      <c r="I1016" s="55" t="s">
        <v>19</v>
      </c>
      <c r="J1016" s="55" t="s">
        <v>19</v>
      </c>
      <c r="K1016" s="55" t="str">
        <f t="shared" si="68"/>
        <v>Mpox</v>
      </c>
      <c r="M1016" s="40"/>
    </row>
    <row r="1017">
      <c r="A1017" s="34"/>
      <c r="B1017" s="53" t="str">
        <f>IFERROR(__xludf.DUMMYFUNCTION("""COMPUTED_VALUE"""),"McMaster University                    ")</f>
        <v>McMaster University                    </v>
      </c>
      <c r="C1017" s="34"/>
      <c r="D1017" s="29" t="str">
        <f>IFERROR(__xludf.DUMMYFUNCTION("""COMPUTED_VALUE"""),"")</f>
        <v/>
      </c>
      <c r="H1017" s="55" t="s">
        <v>19</v>
      </c>
      <c r="I1017" s="55" t="s">
        <v>19</v>
      </c>
      <c r="J1017" s="55" t="s">
        <v>19</v>
      </c>
      <c r="K1017" s="55" t="str">
        <f t="shared" si="68"/>
        <v>Mpox</v>
      </c>
      <c r="M1017" s="40"/>
    </row>
    <row r="1018">
      <c r="A1018" s="34"/>
      <c r="B1018" s="53" t="str">
        <f>IFERROR(__xludf.DUMMYFUNCTION("""COMPUTED_VALUE"""),"National Microbiology Laboratory (NML)                    ")</f>
        <v>National Microbiology Laboratory (NML)                    </v>
      </c>
      <c r="C1018" s="34"/>
      <c r="D1018" s="29" t="str">
        <f>IFERROR(__xludf.DUMMYFUNCTION("""COMPUTED_VALUE"""),"")</f>
        <v/>
      </c>
      <c r="H1018" s="55" t="s">
        <v>19</v>
      </c>
      <c r="I1018" s="55" t="s">
        <v>19</v>
      </c>
      <c r="J1018" s="55" t="s">
        <v>19</v>
      </c>
      <c r="K1018" s="55" t="str">
        <f t="shared" si="68"/>
        <v>Mpox</v>
      </c>
      <c r="M1018" s="40"/>
    </row>
    <row r="1019">
      <c r="A1019" s="34"/>
      <c r="B1019" s="53" t="str">
        <f>IFERROR(__xludf.DUMMYFUNCTION("""COMPUTED_VALUE"""),"New Brunswick - Vitalité Health Network                    ")</f>
        <v>New Brunswick - Vitalité Health Network                    </v>
      </c>
      <c r="C1019" s="34"/>
      <c r="D1019" s="29" t="str">
        <f>IFERROR(__xludf.DUMMYFUNCTION("""COMPUTED_VALUE"""),"")</f>
        <v/>
      </c>
      <c r="H1019" s="55" t="s">
        <v>19</v>
      </c>
      <c r="I1019" s="55" t="s">
        <v>19</v>
      </c>
      <c r="J1019" s="55" t="s">
        <v>19</v>
      </c>
      <c r="K1019" s="55" t="str">
        <f t="shared" si="68"/>
        <v>Mpox</v>
      </c>
      <c r="M1019" s="40"/>
    </row>
    <row r="1020">
      <c r="A1020" s="34"/>
      <c r="B1020" s="53" t="str">
        <f>IFERROR(__xludf.DUMMYFUNCTION("""COMPUTED_VALUE"""),"Newfoundland and Labrador - Eastern Health                    ")</f>
        <v>Newfoundland and Labrador - Eastern Health                    </v>
      </c>
      <c r="C1020" s="34"/>
      <c r="D1020" s="29" t="str">
        <f>IFERROR(__xludf.DUMMYFUNCTION("""COMPUTED_VALUE"""),"")</f>
        <v/>
      </c>
      <c r="H1020" s="55" t="s">
        <v>19</v>
      </c>
      <c r="I1020" s="55" t="s">
        <v>19</v>
      </c>
      <c r="J1020" s="55" t="s">
        <v>19</v>
      </c>
      <c r="K1020" s="55" t="str">
        <f t="shared" si="68"/>
        <v>Mpox</v>
      </c>
      <c r="M1020" s="40"/>
    </row>
    <row r="1021">
      <c r="A1021" s="34"/>
      <c r="B1021" s="53" t="str">
        <f>IFERROR(__xludf.DUMMYFUNCTION("""COMPUTED_VALUE"""),"Nova Scotia Health Authority                    ")</f>
        <v>Nova Scotia Health Authority                    </v>
      </c>
      <c r="C1021" s="34"/>
      <c r="D1021" s="29" t="str">
        <f>IFERROR(__xludf.DUMMYFUNCTION("""COMPUTED_VALUE"""),"")</f>
        <v/>
      </c>
      <c r="H1021" s="55" t="s">
        <v>19</v>
      </c>
      <c r="I1021" s="55" t="s">
        <v>19</v>
      </c>
      <c r="J1021" s="55" t="s">
        <v>19</v>
      </c>
      <c r="K1021" s="55" t="str">
        <f t="shared" si="68"/>
        <v>Mpox</v>
      </c>
      <c r="M1021" s="40"/>
    </row>
    <row r="1022">
      <c r="A1022" s="34"/>
      <c r="B1022" s="53" t="str">
        <f>IFERROR(__xludf.DUMMYFUNCTION("""COMPUTED_VALUE"""),"Ontario Institute for Cancer Research (OICR)                    ")</f>
        <v>Ontario Institute for Cancer Research (OICR)                    </v>
      </c>
      <c r="C1022" s="34"/>
      <c r="D1022" s="29" t="str">
        <f>IFERROR(__xludf.DUMMYFUNCTION("""COMPUTED_VALUE"""),"")</f>
        <v/>
      </c>
      <c r="H1022" s="55" t="s">
        <v>19</v>
      </c>
      <c r="I1022" s="55" t="s">
        <v>19</v>
      </c>
      <c r="J1022" s="55" t="s">
        <v>19</v>
      </c>
      <c r="K1022" s="55" t="str">
        <f t="shared" si="68"/>
        <v>Mpox</v>
      </c>
      <c r="M1022" s="40"/>
    </row>
    <row r="1023">
      <c r="A1023" s="34"/>
      <c r="B1023" s="53" t="str">
        <f>IFERROR(__xludf.DUMMYFUNCTION("""COMPUTED_VALUE"""),"Prince Edward Island - Health PEI                    ")</f>
        <v>Prince Edward Island - Health PEI                    </v>
      </c>
      <c r="C1023" s="34"/>
      <c r="D1023" s="29" t="str">
        <f>IFERROR(__xludf.DUMMYFUNCTION("""COMPUTED_VALUE"""),"")</f>
        <v/>
      </c>
      <c r="H1023" s="55" t="s">
        <v>19</v>
      </c>
      <c r="I1023" s="55" t="s">
        <v>19</v>
      </c>
      <c r="J1023" s="55" t="s">
        <v>19</v>
      </c>
      <c r="K1023" s="55" t="str">
        <f t="shared" si="68"/>
        <v>Mpox</v>
      </c>
      <c r="M1023" s="40"/>
    </row>
    <row r="1024">
      <c r="A1024" s="34"/>
      <c r="B1024" s="53" t="str">
        <f>IFERROR(__xludf.DUMMYFUNCTION("""COMPUTED_VALUE"""),"Public Health Ontario (PHO)                    ")</f>
        <v>Public Health Ontario (PHO)                    </v>
      </c>
      <c r="C1024" s="34"/>
      <c r="D1024" s="29" t="str">
        <f>IFERROR(__xludf.DUMMYFUNCTION("""COMPUTED_VALUE"""),"")</f>
        <v/>
      </c>
      <c r="H1024" s="55" t="s">
        <v>19</v>
      </c>
      <c r="I1024" s="55" t="s">
        <v>19</v>
      </c>
      <c r="J1024" s="55" t="s">
        <v>19</v>
      </c>
      <c r="K1024" s="55" t="str">
        <f t="shared" si="68"/>
        <v>Mpox</v>
      </c>
      <c r="M1024" s="40"/>
    </row>
    <row r="1025">
      <c r="A1025" s="34"/>
      <c r="B1025" s="53" t="str">
        <f>IFERROR(__xludf.DUMMYFUNCTION("""COMPUTED_VALUE"""),"Queen's University / Kingston Health Sciences Centre                    ")</f>
        <v>Queen's University / Kingston Health Sciences Centre                    </v>
      </c>
      <c r="C1025" s="34"/>
      <c r="D1025" s="29" t="str">
        <f>IFERROR(__xludf.DUMMYFUNCTION("""COMPUTED_VALUE"""),"")</f>
        <v/>
      </c>
      <c r="H1025" s="55" t="s">
        <v>19</v>
      </c>
      <c r="I1025" s="55" t="s">
        <v>19</v>
      </c>
      <c r="J1025" s="55" t="s">
        <v>19</v>
      </c>
      <c r="K1025" s="55" t="str">
        <f t="shared" si="68"/>
        <v>Mpox</v>
      </c>
      <c r="M1025" s="40"/>
    </row>
    <row r="1026">
      <c r="A1026" s="34"/>
      <c r="B1026" s="53" t="str">
        <f>IFERROR(__xludf.DUMMYFUNCTION("""COMPUTED_VALUE"""),"Saskatchewan - Roy Romanow Provincial Laboratory (RRPL)                    ")</f>
        <v>Saskatchewan - Roy Romanow Provincial Laboratory (RRPL)                    </v>
      </c>
      <c r="C1026" s="34"/>
      <c r="D1026" s="29" t="str">
        <f>IFERROR(__xludf.DUMMYFUNCTION("""COMPUTED_VALUE"""),"")</f>
        <v/>
      </c>
      <c r="H1026" s="55" t="s">
        <v>19</v>
      </c>
      <c r="I1026" s="55" t="s">
        <v>19</v>
      </c>
      <c r="J1026" s="55" t="s">
        <v>19</v>
      </c>
      <c r="K1026" s="55" t="str">
        <f t="shared" si="68"/>
        <v>Mpox</v>
      </c>
      <c r="M1026" s="40"/>
    </row>
    <row r="1027">
      <c r="A1027" s="34"/>
      <c r="B1027" s="53" t="str">
        <f>IFERROR(__xludf.DUMMYFUNCTION("""COMPUTED_VALUE"""),"Sunnybrook Health Sciences Centre                    ")</f>
        <v>Sunnybrook Health Sciences Centre                    </v>
      </c>
      <c r="C1027" s="34"/>
      <c r="D1027" s="29" t="str">
        <f>IFERROR(__xludf.DUMMYFUNCTION("""COMPUTED_VALUE"""),"")</f>
        <v/>
      </c>
      <c r="H1027" s="55" t="s">
        <v>19</v>
      </c>
      <c r="I1027" s="55" t="s">
        <v>19</v>
      </c>
      <c r="J1027" s="55" t="s">
        <v>19</v>
      </c>
      <c r="K1027" s="55" t="str">
        <f t="shared" si="68"/>
        <v>Mpox</v>
      </c>
      <c r="M1027" s="40"/>
    </row>
    <row r="1028">
      <c r="A1028" s="34"/>
      <c r="B1028" s="53" t="str">
        <f>IFERROR(__xludf.DUMMYFUNCTION("""COMPUTED_VALUE"""),"Thunder Bay Regional Health Sciences Centre                    ")</f>
        <v>Thunder Bay Regional Health Sciences Centre                    </v>
      </c>
      <c r="C1028" s="34"/>
      <c r="D1028" s="29" t="str">
        <f>IFERROR(__xludf.DUMMYFUNCTION("""COMPUTED_VALUE"""),"")</f>
        <v/>
      </c>
      <c r="K1028" s="55" t="str">
        <f t="shared" si="68"/>
        <v>Mpox</v>
      </c>
      <c r="M1028" s="40"/>
    </row>
    <row r="1029">
      <c r="A1029" s="34" t="str">
        <f>IFERROR(__xludf.DUMMYFUNCTION("""COMPUTED_VALUE"""),"sequenced by menu")</f>
        <v>sequenced by menu</v>
      </c>
      <c r="B1029" s="53" t="str">
        <f>IFERROR(__xludf.DUMMYFUNCTION("""COMPUTED_VALUE"""),"                    ")</f>
        <v>                    </v>
      </c>
      <c r="C1029" s="34"/>
      <c r="D1029" s="29" t="str">
        <f>IFERROR(__xludf.DUMMYFUNCTION("""COMPUTED_VALUE"""),"")</f>
        <v/>
      </c>
      <c r="E1029" s="34"/>
      <c r="F1029" s="34"/>
      <c r="G1029" s="34"/>
      <c r="H1029" s="55"/>
      <c r="I1029" s="55"/>
      <c r="J1029" s="55"/>
      <c r="K1029" s="55" t="s">
        <v>29</v>
      </c>
      <c r="L1029" s="34" t="str">
        <f>LEFT(A1029, LEN(A1029) - 5)
</f>
        <v>sequenced by</v>
      </c>
      <c r="M1029" s="34" t="str">
        <f>VLOOKUP(L1029,'Field Reference Guide'!$B$6:$N$220,13,false)</f>
        <v>Mpox</v>
      </c>
    </row>
    <row r="1030">
      <c r="A1030" s="34"/>
      <c r="B1030" s="53" t="str">
        <f>IFERROR(__xludf.DUMMYFUNCTION("""COMPUTED_VALUE"""),"Alberta Precision Labs (APL)                    ")</f>
        <v>Alberta Precision Labs (APL)                    </v>
      </c>
      <c r="C1030" s="34"/>
      <c r="D1030" s="29" t="str">
        <f>IFERROR(__xludf.DUMMYFUNCTION("""COMPUTED_VALUE"""),"")</f>
        <v/>
      </c>
      <c r="H1030" s="55" t="s">
        <v>19</v>
      </c>
      <c r="I1030" s="55" t="s">
        <v>19</v>
      </c>
      <c r="J1030" s="55" t="s">
        <v>19</v>
      </c>
      <c r="K1030" s="55" t="str">
        <f t="shared" ref="K1030:K1054" si="69">K1029</f>
        <v>MPox</v>
      </c>
      <c r="M1030" s="57" t="s">
        <v>29</v>
      </c>
    </row>
    <row r="1031">
      <c r="A1031" s="34"/>
      <c r="B1031" s="53" t="str">
        <f>IFERROR(__xludf.DUMMYFUNCTION("""COMPUTED_VALUE"""),"     Alberta ProvLab North (APLN)               ")</f>
        <v>     Alberta ProvLab North (APLN)               </v>
      </c>
      <c r="C1031" s="34"/>
      <c r="D1031" s="29"/>
      <c r="H1031" s="55" t="s">
        <v>19</v>
      </c>
      <c r="I1031" s="55" t="s">
        <v>19</v>
      </c>
      <c r="J1031" s="55" t="s">
        <v>19</v>
      </c>
      <c r="K1031" s="55" t="str">
        <f t="shared" si="69"/>
        <v>MPox</v>
      </c>
      <c r="M1031" s="40"/>
    </row>
    <row r="1032">
      <c r="A1032" s="34"/>
      <c r="B1032" s="53" t="str">
        <f>IFERROR(__xludf.DUMMYFUNCTION("""COMPUTED_VALUE"""),"     Alberta ProvLab South (APLS)               ")</f>
        <v>     Alberta ProvLab South (APLS)               </v>
      </c>
      <c r="C1032" s="34"/>
      <c r="D1032" s="29"/>
      <c r="H1032" s="55" t="s">
        <v>19</v>
      </c>
      <c r="I1032" s="55" t="s">
        <v>19</v>
      </c>
      <c r="J1032" s="55" t="s">
        <v>19</v>
      </c>
      <c r="K1032" s="55" t="str">
        <f t="shared" si="69"/>
        <v>MPox</v>
      </c>
      <c r="M1032" s="40"/>
    </row>
    <row r="1033">
      <c r="A1033" s="34"/>
      <c r="B1033" s="53" t="str">
        <f>IFERROR(__xludf.DUMMYFUNCTION("""COMPUTED_VALUE"""),"BCCDC Public Health Laboratory                    ")</f>
        <v>BCCDC Public Health Laboratory                    </v>
      </c>
      <c r="C1033" s="34"/>
      <c r="D1033" s="29" t="str">
        <f>IFERROR(__xludf.DUMMYFUNCTION("""COMPUTED_VALUE"""),"")</f>
        <v/>
      </c>
      <c r="H1033" s="55" t="s">
        <v>19</v>
      </c>
      <c r="I1033" s="55" t="s">
        <v>19</v>
      </c>
      <c r="J1033" s="55" t="s">
        <v>19</v>
      </c>
      <c r="K1033" s="55" t="str">
        <f t="shared" si="69"/>
        <v>MPox</v>
      </c>
      <c r="M1033" s="40"/>
    </row>
    <row r="1034">
      <c r="A1034" s="34"/>
      <c r="B1034" s="53" t="str">
        <f>IFERROR(__xludf.DUMMYFUNCTION("""COMPUTED_VALUE"""),"Canadore College                    ")</f>
        <v>Canadore College                    </v>
      </c>
      <c r="C1034" s="34"/>
      <c r="D1034" s="29" t="str">
        <f>IFERROR(__xludf.DUMMYFUNCTION("""COMPUTED_VALUE"""),"")</f>
        <v/>
      </c>
      <c r="H1034" s="55" t="s">
        <v>19</v>
      </c>
      <c r="I1034" s="55" t="s">
        <v>19</v>
      </c>
      <c r="J1034" s="55" t="s">
        <v>19</v>
      </c>
      <c r="K1034" s="55" t="str">
        <f t="shared" si="69"/>
        <v>MPox</v>
      </c>
      <c r="M1034" s="40"/>
    </row>
    <row r="1035">
      <c r="A1035" s="29"/>
      <c r="B1035" s="53" t="str">
        <f>IFERROR(__xludf.DUMMYFUNCTION("""COMPUTED_VALUE"""),"The Centre for Applied Genomics (TCAG)                    ")</f>
        <v>The Centre for Applied Genomics (TCAG)                    </v>
      </c>
      <c r="C1035" s="29"/>
      <c r="D1035" s="29" t="str">
        <f>IFERROR(__xludf.DUMMYFUNCTION("""COMPUTED_VALUE"""),"")</f>
        <v/>
      </c>
      <c r="E1035" s="29"/>
      <c r="F1035" s="29"/>
      <c r="G1035" s="29"/>
      <c r="H1035" s="55" t="s">
        <v>19</v>
      </c>
      <c r="I1035" s="55" t="s">
        <v>19</v>
      </c>
      <c r="J1035" s="55" t="s">
        <v>19</v>
      </c>
      <c r="K1035" s="55" t="str">
        <f t="shared" si="69"/>
        <v>MPox</v>
      </c>
      <c r="M1035" s="40"/>
    </row>
    <row r="1036">
      <c r="A1036" s="34"/>
      <c r="B1036" s="53" t="str">
        <f>IFERROR(__xludf.DUMMYFUNCTION("""COMPUTED_VALUE"""),"Dynacare                    ")</f>
        <v>Dynacare                    </v>
      </c>
      <c r="C1036" s="34"/>
      <c r="D1036" s="29" t="str">
        <f>IFERROR(__xludf.DUMMYFUNCTION("""COMPUTED_VALUE"""),"")</f>
        <v/>
      </c>
      <c r="H1036" s="55" t="s">
        <v>19</v>
      </c>
      <c r="I1036" s="55" t="s">
        <v>19</v>
      </c>
      <c r="J1036" s="55" t="s">
        <v>19</v>
      </c>
      <c r="K1036" s="55" t="str">
        <f t="shared" si="69"/>
        <v>MPox</v>
      </c>
      <c r="M1036" s="40"/>
    </row>
    <row r="1037">
      <c r="A1037" s="34"/>
      <c r="B1037" s="53" t="str">
        <f>IFERROR(__xludf.DUMMYFUNCTION("""COMPUTED_VALUE"""),"Dynacare (Brampton)                    ")</f>
        <v>Dynacare (Brampton)                    </v>
      </c>
      <c r="C1037" s="34"/>
      <c r="D1037" s="29" t="str">
        <f>IFERROR(__xludf.DUMMYFUNCTION("""COMPUTED_VALUE"""),"")</f>
        <v/>
      </c>
      <c r="H1037" s="55" t="s">
        <v>19</v>
      </c>
      <c r="I1037" s="55" t="s">
        <v>19</v>
      </c>
      <c r="J1037" s="55" t="s">
        <v>19</v>
      </c>
      <c r="K1037" s="55" t="str">
        <f t="shared" si="69"/>
        <v>MPox</v>
      </c>
      <c r="M1037" s="40"/>
    </row>
    <row r="1038">
      <c r="A1038" s="34"/>
      <c r="B1038" s="53" t="str">
        <f>IFERROR(__xludf.DUMMYFUNCTION("""COMPUTED_VALUE"""),"Dynacare (Manitoba)                    ")</f>
        <v>Dynacare (Manitoba)                    </v>
      </c>
      <c r="C1038" s="34"/>
      <c r="D1038" s="29" t="str">
        <f>IFERROR(__xludf.DUMMYFUNCTION("""COMPUTED_VALUE"""),"")</f>
        <v/>
      </c>
      <c r="H1038" s="55" t="s">
        <v>19</v>
      </c>
      <c r="I1038" s="55" t="s">
        <v>19</v>
      </c>
      <c r="J1038" s="55" t="s">
        <v>19</v>
      </c>
      <c r="K1038" s="55" t="str">
        <f t="shared" si="69"/>
        <v>MPox</v>
      </c>
      <c r="M1038" s="40"/>
    </row>
    <row r="1039">
      <c r="A1039" s="34"/>
      <c r="B1039" s="53" t="str">
        <f>IFERROR(__xludf.DUMMYFUNCTION("""COMPUTED_VALUE"""),"The Hospital for Sick Children (SickKids)                    ")</f>
        <v>The Hospital for Sick Children (SickKids)                    </v>
      </c>
      <c r="C1039" s="34"/>
      <c r="D1039" s="29" t="str">
        <f>IFERROR(__xludf.DUMMYFUNCTION("""COMPUTED_VALUE"""),"")</f>
        <v/>
      </c>
      <c r="H1039" s="55" t="s">
        <v>19</v>
      </c>
      <c r="I1039" s="55" t="s">
        <v>19</v>
      </c>
      <c r="J1039" s="55" t="s">
        <v>19</v>
      </c>
      <c r="K1039" s="55" t="str">
        <f t="shared" si="69"/>
        <v>MPox</v>
      </c>
      <c r="M1039" s="40"/>
    </row>
    <row r="1040">
      <c r="A1040" s="34"/>
      <c r="B1040" s="53" t="str">
        <f>IFERROR(__xludf.DUMMYFUNCTION("""COMPUTED_VALUE"""),"Laboratoire de santé publique du Québec (LSPQ)                    ")</f>
        <v>Laboratoire de santé publique du Québec (LSPQ)                    </v>
      </c>
      <c r="C1040" s="34"/>
      <c r="D1040" s="29" t="str">
        <f>IFERROR(__xludf.DUMMYFUNCTION("""COMPUTED_VALUE"""),"")</f>
        <v/>
      </c>
      <c r="H1040" s="55" t="s">
        <v>19</v>
      </c>
      <c r="I1040" s="55" t="s">
        <v>19</v>
      </c>
      <c r="J1040" s="55" t="s">
        <v>19</v>
      </c>
      <c r="K1040" s="55" t="str">
        <f t="shared" si="69"/>
        <v>MPox</v>
      </c>
      <c r="M1040" s="40"/>
    </row>
    <row r="1041">
      <c r="A1041" s="34"/>
      <c r="B1041" s="53" t="str">
        <f>IFERROR(__xludf.DUMMYFUNCTION("""COMPUTED_VALUE"""),"Manitoba Cadham Provincial Laboratory                    ")</f>
        <v>Manitoba Cadham Provincial Laboratory                    </v>
      </c>
      <c r="C1041" s="34"/>
      <c r="D1041" s="29" t="str">
        <f>IFERROR(__xludf.DUMMYFUNCTION("""COMPUTED_VALUE"""),"")</f>
        <v/>
      </c>
      <c r="H1041" s="55" t="s">
        <v>19</v>
      </c>
      <c r="I1041" s="55" t="s">
        <v>19</v>
      </c>
      <c r="J1041" s="55" t="s">
        <v>19</v>
      </c>
      <c r="K1041" s="55" t="str">
        <f t="shared" si="69"/>
        <v>MPox</v>
      </c>
      <c r="M1041" s="40"/>
    </row>
    <row r="1042">
      <c r="A1042" s="34"/>
      <c r="B1042" s="53" t="str">
        <f>IFERROR(__xludf.DUMMYFUNCTION("""COMPUTED_VALUE"""),"McGill University                    ")</f>
        <v>McGill University                    </v>
      </c>
      <c r="C1042" s="34"/>
      <c r="D1042" s="29" t="str">
        <f>IFERROR(__xludf.DUMMYFUNCTION("""COMPUTED_VALUE"""),"McGill University is an English-language public research university located in Montreal, Quebec, Canada.")</f>
        <v>McGill University is an English-language public research university located in Montreal, Quebec, Canada.</v>
      </c>
      <c r="H1042" s="55" t="s">
        <v>19</v>
      </c>
      <c r="I1042" s="55" t="s">
        <v>19</v>
      </c>
      <c r="J1042" s="55" t="s">
        <v>19</v>
      </c>
      <c r="K1042" s="55" t="str">
        <f t="shared" si="69"/>
        <v>MPox</v>
      </c>
      <c r="M1042" s="40"/>
    </row>
    <row r="1043">
      <c r="A1043" s="34"/>
      <c r="B1043" s="53" t="str">
        <f>IFERROR(__xludf.DUMMYFUNCTION("""COMPUTED_VALUE"""),"McMaster University                    ")</f>
        <v>McMaster University                    </v>
      </c>
      <c r="C1043" s="34"/>
      <c r="D1043" s="29" t="str">
        <f>IFERROR(__xludf.DUMMYFUNCTION("""COMPUTED_VALUE"""),"")</f>
        <v/>
      </c>
      <c r="H1043" s="55" t="s">
        <v>19</v>
      </c>
      <c r="I1043" s="55" t="s">
        <v>19</v>
      </c>
      <c r="J1043" s="55" t="s">
        <v>19</v>
      </c>
      <c r="K1043" s="55" t="str">
        <f t="shared" si="69"/>
        <v>MPox</v>
      </c>
      <c r="M1043" s="40"/>
    </row>
    <row r="1044">
      <c r="A1044" s="34"/>
      <c r="B1044" s="53" t="str">
        <f>IFERROR(__xludf.DUMMYFUNCTION("""COMPUTED_VALUE"""),"National Microbiology Laboratory (NML)                    ")</f>
        <v>National Microbiology Laboratory (NML)                    </v>
      </c>
      <c r="C1044" s="34"/>
      <c r="D1044" s="29" t="str">
        <f>IFERROR(__xludf.DUMMYFUNCTION("""COMPUTED_VALUE"""),"")</f>
        <v/>
      </c>
      <c r="H1044" s="55" t="s">
        <v>19</v>
      </c>
      <c r="I1044" s="55" t="s">
        <v>19</v>
      </c>
      <c r="J1044" s="55" t="s">
        <v>19</v>
      </c>
      <c r="K1044" s="55" t="str">
        <f t="shared" si="69"/>
        <v>MPox</v>
      </c>
      <c r="M1044" s="40"/>
    </row>
    <row r="1045">
      <c r="A1045" s="34"/>
      <c r="B1045" s="53" t="str">
        <f>IFERROR(__xludf.DUMMYFUNCTION("""COMPUTED_VALUE"""),"New Brunswick - Vitalité Health Network                    ")</f>
        <v>New Brunswick - Vitalité Health Network                    </v>
      </c>
      <c r="C1045" s="34"/>
      <c r="D1045" s="29" t="str">
        <f>IFERROR(__xludf.DUMMYFUNCTION("""COMPUTED_VALUE"""),"")</f>
        <v/>
      </c>
      <c r="H1045" s="55" t="s">
        <v>19</v>
      </c>
      <c r="I1045" s="55" t="s">
        <v>19</v>
      </c>
      <c r="J1045" s="55" t="s">
        <v>19</v>
      </c>
      <c r="K1045" s="55" t="str">
        <f t="shared" si="69"/>
        <v>MPox</v>
      </c>
      <c r="M1045" s="40"/>
    </row>
    <row r="1046">
      <c r="A1046" s="34"/>
      <c r="B1046" s="53" t="str">
        <f>IFERROR(__xludf.DUMMYFUNCTION("""COMPUTED_VALUE"""),"Newfoundland and Labrador - Eastern Health                    ")</f>
        <v>Newfoundland and Labrador - Eastern Health                    </v>
      </c>
      <c r="C1046" s="34"/>
      <c r="D1046" s="29" t="str">
        <f>IFERROR(__xludf.DUMMYFUNCTION("""COMPUTED_VALUE"""),"")</f>
        <v/>
      </c>
      <c r="H1046" s="55" t="s">
        <v>19</v>
      </c>
      <c r="I1046" s="55" t="s">
        <v>19</v>
      </c>
      <c r="J1046" s="55" t="s">
        <v>19</v>
      </c>
      <c r="K1046" s="55" t="str">
        <f t="shared" si="69"/>
        <v>MPox</v>
      </c>
      <c r="M1046" s="40"/>
    </row>
    <row r="1047">
      <c r="A1047" s="34"/>
      <c r="B1047" s="53" t="str">
        <f>IFERROR(__xludf.DUMMYFUNCTION("""COMPUTED_VALUE"""),"Nova Scotia Health Authority                    ")</f>
        <v>Nova Scotia Health Authority                    </v>
      </c>
      <c r="C1047" s="34"/>
      <c r="D1047" s="29" t="str">
        <f>IFERROR(__xludf.DUMMYFUNCTION("""COMPUTED_VALUE"""),"")</f>
        <v/>
      </c>
      <c r="H1047" s="55" t="s">
        <v>19</v>
      </c>
      <c r="I1047" s="55" t="s">
        <v>19</v>
      </c>
      <c r="J1047" s="55" t="s">
        <v>19</v>
      </c>
      <c r="K1047" s="55" t="str">
        <f t="shared" si="69"/>
        <v>MPox</v>
      </c>
      <c r="M1047" s="40"/>
    </row>
    <row r="1048">
      <c r="A1048" s="34"/>
      <c r="B1048" s="53" t="str">
        <f>IFERROR(__xludf.DUMMYFUNCTION("""COMPUTED_VALUE"""),"Ontario Institute for Cancer Research (OICR)                    ")</f>
        <v>Ontario Institute for Cancer Research (OICR)                    </v>
      </c>
      <c r="C1048" s="34"/>
      <c r="D1048" s="29" t="str">
        <f>IFERROR(__xludf.DUMMYFUNCTION("""COMPUTED_VALUE"""),"")</f>
        <v/>
      </c>
      <c r="H1048" s="55" t="s">
        <v>19</v>
      </c>
      <c r="I1048" s="55" t="s">
        <v>19</v>
      </c>
      <c r="J1048" s="55" t="s">
        <v>19</v>
      </c>
      <c r="K1048" s="55" t="str">
        <f t="shared" si="69"/>
        <v>MPox</v>
      </c>
      <c r="M1048" s="40"/>
    </row>
    <row r="1049">
      <c r="A1049" s="34"/>
      <c r="B1049" s="53" t="str">
        <f>IFERROR(__xludf.DUMMYFUNCTION("""COMPUTED_VALUE"""),"Prince Edward Island - Health PEI                    ")</f>
        <v>Prince Edward Island - Health PEI                    </v>
      </c>
      <c r="C1049" s="34"/>
      <c r="D1049" s="29" t="str">
        <f>IFERROR(__xludf.DUMMYFUNCTION("""COMPUTED_VALUE"""),"")</f>
        <v/>
      </c>
      <c r="H1049" s="55" t="s">
        <v>19</v>
      </c>
      <c r="I1049" s="55" t="s">
        <v>19</v>
      </c>
      <c r="J1049" s="55" t="s">
        <v>19</v>
      </c>
      <c r="K1049" s="55" t="str">
        <f t="shared" si="69"/>
        <v>MPox</v>
      </c>
      <c r="M1049" s="40"/>
    </row>
    <row r="1050">
      <c r="A1050" s="34"/>
      <c r="B1050" s="53" t="str">
        <f>IFERROR(__xludf.DUMMYFUNCTION("""COMPUTED_VALUE"""),"Public Health Ontario (PHO)                    ")</f>
        <v>Public Health Ontario (PHO)                    </v>
      </c>
      <c r="C1050" s="34"/>
      <c r="D1050" s="29" t="str">
        <f>IFERROR(__xludf.DUMMYFUNCTION("""COMPUTED_VALUE"""),"")</f>
        <v/>
      </c>
      <c r="H1050" s="55" t="s">
        <v>19</v>
      </c>
      <c r="I1050" s="55" t="s">
        <v>19</v>
      </c>
      <c r="J1050" s="55" t="s">
        <v>19</v>
      </c>
      <c r="K1050" s="55" t="str">
        <f t="shared" si="69"/>
        <v>MPox</v>
      </c>
      <c r="M1050" s="40"/>
    </row>
    <row r="1051">
      <c r="A1051" s="34"/>
      <c r="B1051" s="53" t="str">
        <f>IFERROR(__xludf.DUMMYFUNCTION("""COMPUTED_VALUE"""),"Queen's University / Kingston Health Sciences Centre                    ")</f>
        <v>Queen's University / Kingston Health Sciences Centre                    </v>
      </c>
      <c r="C1051" s="34"/>
      <c r="D1051" s="29" t="str">
        <f>IFERROR(__xludf.DUMMYFUNCTION("""COMPUTED_VALUE"""),"")</f>
        <v/>
      </c>
      <c r="H1051" s="55" t="s">
        <v>19</v>
      </c>
      <c r="I1051" s="55" t="s">
        <v>19</v>
      </c>
      <c r="J1051" s="55" t="s">
        <v>19</v>
      </c>
      <c r="K1051" s="55" t="str">
        <f t="shared" si="69"/>
        <v>MPox</v>
      </c>
      <c r="M1051" s="40"/>
    </row>
    <row r="1052">
      <c r="A1052" s="34"/>
      <c r="B1052" s="53" t="str">
        <f>IFERROR(__xludf.DUMMYFUNCTION("""COMPUTED_VALUE"""),"Saskatchewan - Roy Romanow Provincial Laboratory (RRPL)                    ")</f>
        <v>Saskatchewan - Roy Romanow Provincial Laboratory (RRPL)                    </v>
      </c>
      <c r="C1052" s="34"/>
      <c r="D1052" s="29" t="str">
        <f>IFERROR(__xludf.DUMMYFUNCTION("""COMPUTED_VALUE"""),"")</f>
        <v/>
      </c>
      <c r="H1052" s="55" t="s">
        <v>19</v>
      </c>
      <c r="I1052" s="55" t="s">
        <v>19</v>
      </c>
      <c r="J1052" s="55" t="s">
        <v>19</v>
      </c>
      <c r="K1052" s="55" t="str">
        <f t="shared" si="69"/>
        <v>MPox</v>
      </c>
      <c r="M1052" s="40"/>
    </row>
    <row r="1053">
      <c r="A1053" s="34"/>
      <c r="B1053" s="53" t="str">
        <f>IFERROR(__xludf.DUMMYFUNCTION("""COMPUTED_VALUE"""),"Sunnybrook Health Sciences Centre                    ")</f>
        <v>Sunnybrook Health Sciences Centre                    </v>
      </c>
      <c r="C1053" s="34"/>
      <c r="D1053" s="29" t="str">
        <f>IFERROR(__xludf.DUMMYFUNCTION("""COMPUTED_VALUE"""),"")</f>
        <v/>
      </c>
      <c r="H1053" s="55" t="s">
        <v>19</v>
      </c>
      <c r="I1053" s="55" t="s">
        <v>19</v>
      </c>
      <c r="J1053" s="55" t="s">
        <v>19</v>
      </c>
      <c r="K1053" s="55" t="str">
        <f t="shared" si="69"/>
        <v>MPox</v>
      </c>
      <c r="M1053" s="40"/>
    </row>
    <row r="1054">
      <c r="A1054" s="34"/>
      <c r="B1054" s="53" t="str">
        <f>IFERROR(__xludf.DUMMYFUNCTION("""COMPUTED_VALUE"""),"Thunder Bay Regional Health Sciences Centre                    ")</f>
        <v>Thunder Bay Regional Health Sciences Centre                    </v>
      </c>
      <c r="C1054" s="34"/>
      <c r="D1054" s="29" t="str">
        <f>IFERROR(__xludf.DUMMYFUNCTION("""COMPUTED_VALUE"""),"")</f>
        <v/>
      </c>
      <c r="H1054" s="55" t="s">
        <v>19</v>
      </c>
      <c r="I1054" s="55" t="s">
        <v>19</v>
      </c>
      <c r="J1054" s="55" t="s">
        <v>19</v>
      </c>
      <c r="K1054" s="55" t="str">
        <f t="shared" si="69"/>
        <v>MPox</v>
      </c>
      <c r="M1054" s="40"/>
    </row>
    <row r="1055">
      <c r="A1055" s="34" t="str">
        <f>IFERROR(__xludf.DUMMYFUNCTION("""COMPUTED_VALUE"""),"sample collected by menu")</f>
        <v>sample collected by menu</v>
      </c>
      <c r="B1055" s="53" t="str">
        <f>IFERROR(__xludf.DUMMYFUNCTION("""COMPUTED_VALUE"""),"                    ")</f>
        <v>                    </v>
      </c>
      <c r="C1055" s="34"/>
      <c r="D1055" s="29" t="str">
        <f>IFERROR(__xludf.DUMMYFUNCTION("""COMPUTED_VALUE"""),"")</f>
        <v/>
      </c>
      <c r="E1055" s="34"/>
      <c r="F1055" s="34"/>
      <c r="G1055" s="34"/>
      <c r="H1055" s="55"/>
      <c r="I1055" s="55"/>
      <c r="J1055" s="55"/>
      <c r="K1055" s="55" t="s">
        <v>26</v>
      </c>
      <c r="L1055" s="34" t="str">
        <f>LEFT(A1055, LEN(A1055) - 5)
</f>
        <v>sample collected by</v>
      </c>
      <c r="M1055" s="34" t="str">
        <f>VLOOKUP(L1055,'Field Reference Guide'!$B$6:$N$220,13,false)</f>
        <v>Mpox</v>
      </c>
    </row>
    <row r="1056">
      <c r="A1056" s="34"/>
      <c r="B1056" s="53" t="str">
        <f>IFERROR(__xludf.DUMMYFUNCTION("""COMPUTED_VALUE"""),"Alberta Precision Labs (APL)                    ")</f>
        <v>Alberta Precision Labs (APL)                    </v>
      </c>
      <c r="C1056" s="34"/>
      <c r="D1056" s="29" t="str">
        <f>IFERROR(__xludf.DUMMYFUNCTION("""COMPUTED_VALUE"""),"")</f>
        <v/>
      </c>
      <c r="H1056" s="55" t="s">
        <v>19</v>
      </c>
      <c r="I1056" s="55" t="s">
        <v>19</v>
      </c>
      <c r="J1056" s="55" t="s">
        <v>19</v>
      </c>
      <c r="K1056" s="55" t="str">
        <f t="shared" ref="K1056:K1088" si="70">K1055</f>
        <v>Mpox</v>
      </c>
      <c r="M1056" s="57" t="s">
        <v>26</v>
      </c>
    </row>
    <row r="1057">
      <c r="A1057" s="34"/>
      <c r="B1057" s="53" t="str">
        <f>IFERROR(__xludf.DUMMYFUNCTION("""COMPUTED_VALUE"""),"     Alberta ProvLab North (APLN)               ")</f>
        <v>     Alberta ProvLab North (APLN)               </v>
      </c>
      <c r="C1057" s="34"/>
      <c r="D1057" s="29"/>
      <c r="H1057" s="55" t="s">
        <v>19</v>
      </c>
      <c r="I1057" s="55" t="s">
        <v>19</v>
      </c>
      <c r="J1057" s="55" t="s">
        <v>19</v>
      </c>
      <c r="K1057" s="55" t="str">
        <f t="shared" si="70"/>
        <v>Mpox</v>
      </c>
      <c r="M1057" s="40"/>
    </row>
    <row r="1058">
      <c r="A1058" s="34"/>
      <c r="B1058" s="53" t="str">
        <f>IFERROR(__xludf.DUMMYFUNCTION("""COMPUTED_VALUE"""),"     Alberta ProvLab South (APLS)               ")</f>
        <v>     Alberta ProvLab South (APLS)               </v>
      </c>
      <c r="C1058" s="34"/>
      <c r="D1058" s="29"/>
      <c r="H1058" s="55" t="s">
        <v>19</v>
      </c>
      <c r="I1058" s="55" t="s">
        <v>19</v>
      </c>
      <c r="J1058" s="55" t="s">
        <v>19</v>
      </c>
      <c r="K1058" s="55" t="str">
        <f t="shared" si="70"/>
        <v>Mpox</v>
      </c>
      <c r="M1058" s="40"/>
    </row>
    <row r="1059">
      <c r="A1059" s="34"/>
      <c r="B1059" s="53" t="str">
        <f>IFERROR(__xludf.DUMMYFUNCTION("""COMPUTED_VALUE"""),"BCCDC Public Health Laboratory                    ")</f>
        <v>BCCDC Public Health Laboratory                    </v>
      </c>
      <c r="C1059" s="34"/>
      <c r="D1059" s="29" t="str">
        <f>IFERROR(__xludf.DUMMYFUNCTION("""COMPUTED_VALUE"""),"")</f>
        <v/>
      </c>
      <c r="H1059" s="55" t="s">
        <v>19</v>
      </c>
      <c r="I1059" s="55" t="s">
        <v>19</v>
      </c>
      <c r="J1059" s="55" t="s">
        <v>19</v>
      </c>
      <c r="K1059" s="55" t="str">
        <f t="shared" si="70"/>
        <v>Mpox</v>
      </c>
      <c r="M1059" s="40"/>
    </row>
    <row r="1060">
      <c r="A1060" s="34"/>
      <c r="B1060" s="53" t="str">
        <f>IFERROR(__xludf.DUMMYFUNCTION("""COMPUTED_VALUE"""),"Dynacare                    ")</f>
        <v>Dynacare                    </v>
      </c>
      <c r="C1060" s="34"/>
      <c r="D1060" s="29" t="str">
        <f>IFERROR(__xludf.DUMMYFUNCTION("""COMPUTED_VALUE"""),"")</f>
        <v/>
      </c>
      <c r="H1060" s="55" t="s">
        <v>19</v>
      </c>
      <c r="I1060" s="55" t="s">
        <v>19</v>
      </c>
      <c r="J1060" s="55" t="s">
        <v>19</v>
      </c>
      <c r="K1060" s="55" t="str">
        <f t="shared" si="70"/>
        <v>Mpox</v>
      </c>
      <c r="M1060" s="40"/>
    </row>
    <row r="1061">
      <c r="A1061" s="34"/>
      <c r="B1061" s="53" t="str">
        <f>IFERROR(__xludf.DUMMYFUNCTION("""COMPUTED_VALUE"""),"Dynacare (Manitoba)                    ")</f>
        <v>Dynacare (Manitoba)                    </v>
      </c>
      <c r="C1061" s="34"/>
      <c r="D1061" s="29" t="str">
        <f>IFERROR(__xludf.DUMMYFUNCTION("""COMPUTED_VALUE"""),"")</f>
        <v/>
      </c>
      <c r="H1061" s="55" t="s">
        <v>19</v>
      </c>
      <c r="I1061" s="55" t="s">
        <v>19</v>
      </c>
      <c r="J1061" s="55" t="s">
        <v>19</v>
      </c>
      <c r="K1061" s="55" t="str">
        <f t="shared" si="70"/>
        <v>Mpox</v>
      </c>
      <c r="M1061" s="40"/>
    </row>
    <row r="1062">
      <c r="A1062" s="34"/>
      <c r="B1062" s="53" t="str">
        <f>IFERROR(__xludf.DUMMYFUNCTION("""COMPUTED_VALUE"""),"Dynacare (Brampton)                    ")</f>
        <v>Dynacare (Brampton)                    </v>
      </c>
      <c r="C1062" s="34"/>
      <c r="D1062" s="29" t="str">
        <f>IFERROR(__xludf.DUMMYFUNCTION("""COMPUTED_VALUE"""),"")</f>
        <v/>
      </c>
      <c r="H1062" s="55" t="s">
        <v>19</v>
      </c>
      <c r="I1062" s="55" t="s">
        <v>19</v>
      </c>
      <c r="J1062" s="55" t="s">
        <v>19</v>
      </c>
      <c r="K1062" s="55" t="str">
        <f t="shared" si="70"/>
        <v>Mpox</v>
      </c>
      <c r="M1062" s="40"/>
    </row>
    <row r="1063">
      <c r="A1063" s="34"/>
      <c r="B1063" s="53" t="str">
        <f>IFERROR(__xludf.DUMMYFUNCTION("""COMPUTED_VALUE"""),"Eastern Ontario Regional Laboratory Association                    ")</f>
        <v>Eastern Ontario Regional Laboratory Association                    </v>
      </c>
      <c r="C1063" s="34"/>
      <c r="D1063" s="29" t="str">
        <f>IFERROR(__xludf.DUMMYFUNCTION("""COMPUTED_VALUE"""),"")</f>
        <v/>
      </c>
      <c r="H1063" s="55" t="s">
        <v>19</v>
      </c>
      <c r="I1063" s="55" t="s">
        <v>19</v>
      </c>
      <c r="J1063" s="55" t="s">
        <v>19</v>
      </c>
      <c r="K1063" s="55" t="str">
        <f t="shared" si="70"/>
        <v>Mpox</v>
      </c>
      <c r="M1063" s="40"/>
    </row>
    <row r="1064">
      <c r="A1064" s="34"/>
      <c r="B1064" s="53" t="str">
        <f>IFERROR(__xludf.DUMMYFUNCTION("""COMPUTED_VALUE"""),"Hamilton Health Sciences                    ")</f>
        <v>Hamilton Health Sciences                    </v>
      </c>
      <c r="C1064" s="34"/>
      <c r="D1064" s="29" t="str">
        <f>IFERROR(__xludf.DUMMYFUNCTION("""COMPUTED_VALUE"""),"")</f>
        <v/>
      </c>
      <c r="H1064" s="55" t="s">
        <v>19</v>
      </c>
      <c r="I1064" s="55" t="s">
        <v>19</v>
      </c>
      <c r="J1064" s="55" t="s">
        <v>19</v>
      </c>
      <c r="K1064" s="55" t="str">
        <f t="shared" si="70"/>
        <v>Mpox</v>
      </c>
      <c r="M1064" s="40"/>
    </row>
    <row r="1065">
      <c r="A1065" s="34"/>
      <c r="B1065" s="53" t="str">
        <f>IFERROR(__xludf.DUMMYFUNCTION("""COMPUTED_VALUE"""),"The Hospital for Sick Children (SickKids)                    ")</f>
        <v>The Hospital for Sick Children (SickKids)                    </v>
      </c>
      <c r="C1065" s="34"/>
      <c r="D1065" s="29" t="str">
        <f>IFERROR(__xludf.DUMMYFUNCTION("""COMPUTED_VALUE"""),"")</f>
        <v/>
      </c>
      <c r="H1065" s="55" t="s">
        <v>19</v>
      </c>
      <c r="I1065" s="55" t="s">
        <v>19</v>
      </c>
      <c r="J1065" s="55" t="s">
        <v>19</v>
      </c>
      <c r="K1065" s="55" t="str">
        <f t="shared" si="70"/>
        <v>Mpox</v>
      </c>
      <c r="M1065" s="40"/>
    </row>
    <row r="1066">
      <c r="A1066" s="34"/>
      <c r="B1066" s="53" t="str">
        <f>IFERROR(__xludf.DUMMYFUNCTION("""COMPUTED_VALUE"""),"Laboratoire de santé publique du Québec (LSPQ)                    ")</f>
        <v>Laboratoire de santé publique du Québec (LSPQ)                    </v>
      </c>
      <c r="C1066" s="34"/>
      <c r="D1066" s="29" t="str">
        <f>IFERROR(__xludf.DUMMYFUNCTION("""COMPUTED_VALUE"""),"")</f>
        <v/>
      </c>
      <c r="H1066" s="55" t="s">
        <v>19</v>
      </c>
      <c r="I1066" s="55" t="s">
        <v>19</v>
      </c>
      <c r="J1066" s="55" t="s">
        <v>19</v>
      </c>
      <c r="K1066" s="55" t="str">
        <f t="shared" si="70"/>
        <v>Mpox</v>
      </c>
      <c r="M1066" s="40"/>
    </row>
    <row r="1067">
      <c r="A1067" s="34"/>
      <c r="B1067" s="53" t="str">
        <f>IFERROR(__xludf.DUMMYFUNCTION("""COMPUTED_VALUE"""),"Lake of the Woods District Hospital - Ontario                    ")</f>
        <v>Lake of the Woods District Hospital - Ontario                    </v>
      </c>
      <c r="C1067" s="34"/>
      <c r="D1067" s="29" t="str">
        <f>IFERROR(__xludf.DUMMYFUNCTION("""COMPUTED_VALUE"""),"")</f>
        <v/>
      </c>
      <c r="H1067" s="55" t="s">
        <v>19</v>
      </c>
      <c r="I1067" s="55" t="s">
        <v>19</v>
      </c>
      <c r="J1067" s="55" t="s">
        <v>19</v>
      </c>
      <c r="K1067" s="55" t="str">
        <f t="shared" si="70"/>
        <v>Mpox</v>
      </c>
      <c r="M1067" s="40"/>
    </row>
    <row r="1068">
      <c r="A1068" s="34"/>
      <c r="B1068" s="53" t="str">
        <f>IFERROR(__xludf.DUMMYFUNCTION("""COMPUTED_VALUE"""),"LifeLabs                    ")</f>
        <v>LifeLabs                    </v>
      </c>
      <c r="C1068" s="34"/>
      <c r="D1068" s="29" t="str">
        <f>IFERROR(__xludf.DUMMYFUNCTION("""COMPUTED_VALUE"""),"")</f>
        <v/>
      </c>
      <c r="H1068" s="55" t="s">
        <v>19</v>
      </c>
      <c r="I1068" s="55" t="s">
        <v>19</v>
      </c>
      <c r="J1068" s="55" t="s">
        <v>19</v>
      </c>
      <c r="K1068" s="55" t="str">
        <f t="shared" si="70"/>
        <v>Mpox</v>
      </c>
      <c r="M1068" s="40"/>
    </row>
    <row r="1069">
      <c r="A1069" s="34"/>
      <c r="B1069" s="53" t="str">
        <f>IFERROR(__xludf.DUMMYFUNCTION("""COMPUTED_VALUE"""),"LifeLabs (Ontario)                    ")</f>
        <v>LifeLabs (Ontario)                    </v>
      </c>
      <c r="C1069" s="34"/>
      <c r="D1069" s="29" t="str">
        <f>IFERROR(__xludf.DUMMYFUNCTION("""COMPUTED_VALUE"""),"")</f>
        <v/>
      </c>
      <c r="H1069" s="55" t="s">
        <v>19</v>
      </c>
      <c r="I1069" s="55" t="s">
        <v>19</v>
      </c>
      <c r="J1069" s="55" t="s">
        <v>19</v>
      </c>
      <c r="K1069" s="55" t="str">
        <f t="shared" si="70"/>
        <v>Mpox</v>
      </c>
      <c r="M1069" s="40"/>
    </row>
    <row r="1070">
      <c r="A1070" s="34"/>
      <c r="B1070" s="53" t="str">
        <f>IFERROR(__xludf.DUMMYFUNCTION("""COMPUTED_VALUE"""),"Manitoba Cadham Provincial Laboratory                    ")</f>
        <v>Manitoba Cadham Provincial Laboratory                    </v>
      </c>
      <c r="C1070" s="34"/>
      <c r="D1070" s="29" t="str">
        <f>IFERROR(__xludf.DUMMYFUNCTION("""COMPUTED_VALUE"""),"")</f>
        <v/>
      </c>
      <c r="H1070" s="55" t="s">
        <v>19</v>
      </c>
      <c r="I1070" s="55" t="s">
        <v>19</v>
      </c>
      <c r="J1070" s="55" t="s">
        <v>19</v>
      </c>
      <c r="K1070" s="55" t="str">
        <f t="shared" si="70"/>
        <v>Mpox</v>
      </c>
      <c r="M1070" s="40"/>
    </row>
    <row r="1071">
      <c r="A1071" s="34"/>
      <c r="B1071" s="53" t="str">
        <f>IFERROR(__xludf.DUMMYFUNCTION("""COMPUTED_VALUE"""),"McMaster University                    ")</f>
        <v>McMaster University                    </v>
      </c>
      <c r="C1071" s="34"/>
      <c r="D1071" s="29" t="str">
        <f>IFERROR(__xludf.DUMMYFUNCTION("""COMPUTED_VALUE"""),"")</f>
        <v/>
      </c>
      <c r="H1071" s="55" t="s">
        <v>19</v>
      </c>
      <c r="I1071" s="55" t="s">
        <v>19</v>
      </c>
      <c r="J1071" s="55" t="s">
        <v>19</v>
      </c>
      <c r="K1071" s="55" t="str">
        <f t="shared" si="70"/>
        <v>Mpox</v>
      </c>
      <c r="M1071" s="40"/>
    </row>
    <row r="1072">
      <c r="A1072" s="34"/>
      <c r="B1072" s="53" t="str">
        <f>IFERROR(__xludf.DUMMYFUNCTION("""COMPUTED_VALUE"""),"Mount Sinai Hospital                    ")</f>
        <v>Mount Sinai Hospital                    </v>
      </c>
      <c r="C1072" s="34"/>
      <c r="D1072" s="29" t="str">
        <f>IFERROR(__xludf.DUMMYFUNCTION("""COMPUTED_VALUE"""),"")</f>
        <v/>
      </c>
      <c r="H1072" s="55" t="s">
        <v>19</v>
      </c>
      <c r="I1072" s="55" t="s">
        <v>19</v>
      </c>
      <c r="J1072" s="55" t="s">
        <v>19</v>
      </c>
      <c r="K1072" s="55" t="str">
        <f t="shared" si="70"/>
        <v>Mpox</v>
      </c>
      <c r="M1072" s="40"/>
    </row>
    <row r="1073">
      <c r="A1073" s="34"/>
      <c r="B1073" s="53" t="str">
        <f>IFERROR(__xludf.DUMMYFUNCTION("""COMPUTED_VALUE"""),"National Microbiology Laboratory (NML)                    ")</f>
        <v>National Microbiology Laboratory (NML)                    </v>
      </c>
      <c r="C1073" s="34"/>
      <c r="D1073" s="29" t="str">
        <f>IFERROR(__xludf.DUMMYFUNCTION("""COMPUTED_VALUE"""),"")</f>
        <v/>
      </c>
      <c r="H1073" s="55" t="s">
        <v>19</v>
      </c>
      <c r="I1073" s="55" t="s">
        <v>19</v>
      </c>
      <c r="J1073" s="55" t="s">
        <v>19</v>
      </c>
      <c r="K1073" s="55" t="str">
        <f t="shared" si="70"/>
        <v>Mpox</v>
      </c>
      <c r="M1073" s="40"/>
    </row>
    <row r="1074">
      <c r="A1074" s="34"/>
      <c r="B1074" s="53" t="str">
        <f>IFERROR(__xludf.DUMMYFUNCTION("""COMPUTED_VALUE"""),"New Brunswick - Vitalité Health Network                    ")</f>
        <v>New Brunswick - Vitalité Health Network                    </v>
      </c>
      <c r="C1074" s="34"/>
      <c r="D1074" s="29" t="str">
        <f>IFERROR(__xludf.DUMMYFUNCTION("""COMPUTED_VALUE"""),"")</f>
        <v/>
      </c>
      <c r="H1074" s="55" t="s">
        <v>19</v>
      </c>
      <c r="I1074" s="55" t="s">
        <v>19</v>
      </c>
      <c r="J1074" s="55" t="s">
        <v>19</v>
      </c>
      <c r="K1074" s="55" t="str">
        <f t="shared" si="70"/>
        <v>Mpox</v>
      </c>
      <c r="M1074" s="40"/>
    </row>
    <row r="1075">
      <c r="A1075" s="34"/>
      <c r="B1075" s="53" t="str">
        <f>IFERROR(__xludf.DUMMYFUNCTION("""COMPUTED_VALUE"""),"Newfoundland and Labrador - Eastern Health                    ")</f>
        <v>Newfoundland and Labrador - Eastern Health                    </v>
      </c>
      <c r="C1075" s="34"/>
      <c r="D1075" s="29" t="str">
        <f>IFERROR(__xludf.DUMMYFUNCTION("""COMPUTED_VALUE"""),"")</f>
        <v/>
      </c>
      <c r="H1075" s="55" t="s">
        <v>19</v>
      </c>
      <c r="I1075" s="55" t="s">
        <v>19</v>
      </c>
      <c r="J1075" s="55" t="s">
        <v>19</v>
      </c>
      <c r="K1075" s="55" t="str">
        <f t="shared" si="70"/>
        <v>Mpox</v>
      </c>
      <c r="M1075" s="40"/>
    </row>
    <row r="1076">
      <c r="A1076" s="34"/>
      <c r="B1076" s="53" t="str">
        <f>IFERROR(__xludf.DUMMYFUNCTION("""COMPUTED_VALUE"""),"Nova Scotia Health Authority                    ")</f>
        <v>Nova Scotia Health Authority                    </v>
      </c>
      <c r="C1076" s="34"/>
      <c r="D1076" s="29" t="str">
        <f>IFERROR(__xludf.DUMMYFUNCTION("""COMPUTED_VALUE"""),"")</f>
        <v/>
      </c>
      <c r="H1076" s="55" t="s">
        <v>19</v>
      </c>
      <c r="I1076" s="55" t="s">
        <v>19</v>
      </c>
      <c r="J1076" s="55" t="s">
        <v>19</v>
      </c>
      <c r="K1076" s="55" t="str">
        <f t="shared" si="70"/>
        <v>Mpox</v>
      </c>
      <c r="M1076" s="40"/>
    </row>
    <row r="1077">
      <c r="A1077" s="34"/>
      <c r="B1077" s="53" t="str">
        <f>IFERROR(__xludf.DUMMYFUNCTION("""COMPUTED_VALUE"""),"Nunavut                    ")</f>
        <v>Nunavut                    </v>
      </c>
      <c r="C1077" s="34"/>
      <c r="D1077" s="29" t="str">
        <f>IFERROR(__xludf.DUMMYFUNCTION("""COMPUTED_VALUE"""),"")</f>
        <v/>
      </c>
      <c r="H1077" s="55" t="s">
        <v>19</v>
      </c>
      <c r="I1077" s="55" t="s">
        <v>19</v>
      </c>
      <c r="J1077" s="55" t="s">
        <v>19</v>
      </c>
      <c r="K1077" s="55" t="str">
        <f t="shared" si="70"/>
        <v>Mpox</v>
      </c>
      <c r="M1077" s="40"/>
    </row>
    <row r="1078">
      <c r="A1078" s="34"/>
      <c r="B1078" s="53" t="str">
        <f>IFERROR(__xludf.DUMMYFUNCTION("""COMPUTED_VALUE"""),"Ontario Institute for Cancer Research (OICR)                    ")</f>
        <v>Ontario Institute for Cancer Research (OICR)                    </v>
      </c>
      <c r="C1078" s="34"/>
      <c r="D1078" s="29" t="str">
        <f>IFERROR(__xludf.DUMMYFUNCTION("""COMPUTED_VALUE"""),"")</f>
        <v/>
      </c>
      <c r="H1078" s="55" t="s">
        <v>19</v>
      </c>
      <c r="I1078" s="55" t="s">
        <v>19</v>
      </c>
      <c r="J1078" s="55" t="s">
        <v>19</v>
      </c>
      <c r="K1078" s="55" t="str">
        <f t="shared" si="70"/>
        <v>Mpox</v>
      </c>
      <c r="M1078" s="40"/>
    </row>
    <row r="1079">
      <c r="A1079" s="34"/>
      <c r="B1079" s="53" t="str">
        <f>IFERROR(__xludf.DUMMYFUNCTION("""COMPUTED_VALUE"""),"Prince Edward Island - Health PEI                    ")</f>
        <v>Prince Edward Island - Health PEI                    </v>
      </c>
      <c r="C1079" s="34"/>
      <c r="D1079" s="29" t="str">
        <f>IFERROR(__xludf.DUMMYFUNCTION("""COMPUTED_VALUE"""),"")</f>
        <v/>
      </c>
      <c r="H1079" s="55" t="s">
        <v>19</v>
      </c>
      <c r="I1079" s="55" t="s">
        <v>19</v>
      </c>
      <c r="J1079" s="55" t="s">
        <v>19</v>
      </c>
      <c r="K1079" s="55" t="str">
        <f t="shared" si="70"/>
        <v>Mpox</v>
      </c>
      <c r="M1079" s="40"/>
    </row>
    <row r="1080">
      <c r="A1080" s="34"/>
      <c r="B1080" s="53" t="str">
        <f>IFERROR(__xludf.DUMMYFUNCTION("""COMPUTED_VALUE"""),"Public Health Ontario (PHO)                    ")</f>
        <v>Public Health Ontario (PHO)                    </v>
      </c>
      <c r="C1080" s="34"/>
      <c r="D1080" s="29" t="str">
        <f>IFERROR(__xludf.DUMMYFUNCTION("""COMPUTED_VALUE"""),"")</f>
        <v/>
      </c>
      <c r="H1080" s="55" t="s">
        <v>19</v>
      </c>
      <c r="I1080" s="55" t="s">
        <v>19</v>
      </c>
      <c r="J1080" s="55" t="s">
        <v>19</v>
      </c>
      <c r="K1080" s="55" t="str">
        <f t="shared" si="70"/>
        <v>Mpox</v>
      </c>
      <c r="M1080" s="40"/>
    </row>
    <row r="1081">
      <c r="A1081" s="34"/>
      <c r="B1081" s="53" t="str">
        <f>IFERROR(__xludf.DUMMYFUNCTION("""COMPUTED_VALUE"""),"Queen's University / Kingston Health Sciences Centre                    ")</f>
        <v>Queen's University / Kingston Health Sciences Centre                    </v>
      </c>
      <c r="C1081" s="34"/>
      <c r="D1081" s="29" t="str">
        <f>IFERROR(__xludf.DUMMYFUNCTION("""COMPUTED_VALUE"""),"")</f>
        <v/>
      </c>
      <c r="H1081" s="55" t="s">
        <v>19</v>
      </c>
      <c r="I1081" s="55" t="s">
        <v>19</v>
      </c>
      <c r="J1081" s="55" t="s">
        <v>19</v>
      </c>
      <c r="K1081" s="55" t="str">
        <f t="shared" si="70"/>
        <v>Mpox</v>
      </c>
      <c r="M1081" s="40"/>
    </row>
    <row r="1082">
      <c r="A1082" s="34"/>
      <c r="B1082" s="53" t="str">
        <f>IFERROR(__xludf.DUMMYFUNCTION("""COMPUTED_VALUE"""),"Saskatchewan - Roy Romanow Provincial Laboratory (RRPL)                    ")</f>
        <v>Saskatchewan - Roy Romanow Provincial Laboratory (RRPL)                    </v>
      </c>
      <c r="C1082" s="34"/>
      <c r="D1082" s="29" t="str">
        <f>IFERROR(__xludf.DUMMYFUNCTION("""COMPUTED_VALUE"""),"")</f>
        <v/>
      </c>
      <c r="H1082" s="55" t="s">
        <v>19</v>
      </c>
      <c r="I1082" s="55" t="s">
        <v>19</v>
      </c>
      <c r="J1082" s="55" t="s">
        <v>19</v>
      </c>
      <c r="K1082" s="55" t="str">
        <f t="shared" si="70"/>
        <v>Mpox</v>
      </c>
      <c r="M1082" s="40"/>
    </row>
    <row r="1083">
      <c r="A1083" s="34"/>
      <c r="B1083" s="53" t="str">
        <f>IFERROR(__xludf.DUMMYFUNCTION("""COMPUTED_VALUE"""),"Shared Hospital Laboratory                    ")</f>
        <v>Shared Hospital Laboratory                    </v>
      </c>
      <c r="C1083" s="34"/>
      <c r="D1083" s="29" t="str">
        <f>IFERROR(__xludf.DUMMYFUNCTION("""COMPUTED_VALUE"""),"")</f>
        <v/>
      </c>
      <c r="H1083" s="55" t="s">
        <v>19</v>
      </c>
      <c r="I1083" s="55" t="s">
        <v>19</v>
      </c>
      <c r="J1083" s="55" t="s">
        <v>19</v>
      </c>
      <c r="K1083" s="55" t="str">
        <f t="shared" si="70"/>
        <v>Mpox</v>
      </c>
      <c r="M1083" s="40"/>
    </row>
    <row r="1084">
      <c r="A1084" s="34"/>
      <c r="B1084" s="53" t="str">
        <f>IFERROR(__xludf.DUMMYFUNCTION("""COMPUTED_VALUE"""),"St. John's Rehab at Sunnybrook Hospital                    ")</f>
        <v>St. John's Rehab at Sunnybrook Hospital                    </v>
      </c>
      <c r="C1084" s="34"/>
      <c r="D1084" s="29" t="str">
        <f>IFERROR(__xludf.DUMMYFUNCTION("""COMPUTED_VALUE"""),"")</f>
        <v/>
      </c>
      <c r="H1084" s="55" t="s">
        <v>19</v>
      </c>
      <c r="I1084" s="55" t="s">
        <v>19</v>
      </c>
      <c r="J1084" s="55" t="s">
        <v>19</v>
      </c>
      <c r="K1084" s="55" t="str">
        <f t="shared" si="70"/>
        <v>Mpox</v>
      </c>
      <c r="M1084" s="40"/>
    </row>
    <row r="1085">
      <c r="A1085" s="34"/>
      <c r="B1085" s="53" t="str">
        <f>IFERROR(__xludf.DUMMYFUNCTION("""COMPUTED_VALUE"""),"Switch Health                    ")</f>
        <v>Switch Health                    </v>
      </c>
      <c r="C1085" s="34"/>
      <c r="D1085" s="29" t="str">
        <f>IFERROR(__xludf.DUMMYFUNCTION("""COMPUTED_VALUE"""),"")</f>
        <v/>
      </c>
      <c r="H1085" s="55" t="s">
        <v>19</v>
      </c>
      <c r="I1085" s="55" t="s">
        <v>19</v>
      </c>
      <c r="J1085" s="55" t="s">
        <v>19</v>
      </c>
      <c r="K1085" s="55" t="str">
        <f t="shared" si="70"/>
        <v>Mpox</v>
      </c>
      <c r="M1085" s="40"/>
    </row>
    <row r="1086">
      <c r="A1086" s="34"/>
      <c r="B1086" s="53" t="str">
        <f>IFERROR(__xludf.DUMMYFUNCTION("""COMPUTED_VALUE"""),"Sunnybrook Health Sciences Centre                    ")</f>
        <v>Sunnybrook Health Sciences Centre                    </v>
      </c>
      <c r="C1086" s="34"/>
      <c r="D1086" s="29" t="str">
        <f>IFERROR(__xludf.DUMMYFUNCTION("""COMPUTED_VALUE"""),"")</f>
        <v/>
      </c>
      <c r="H1086" s="55" t="s">
        <v>19</v>
      </c>
      <c r="I1086" s="55" t="s">
        <v>19</v>
      </c>
      <c r="J1086" s="55" t="s">
        <v>19</v>
      </c>
      <c r="K1086" s="55" t="str">
        <f t="shared" si="70"/>
        <v>Mpox</v>
      </c>
      <c r="M1086" s="40"/>
    </row>
    <row r="1087">
      <c r="A1087" s="34"/>
      <c r="B1087" s="53" t="str">
        <f>IFERROR(__xludf.DUMMYFUNCTION("""COMPUTED_VALUE"""),"Unity Health Toronto                    ")</f>
        <v>Unity Health Toronto                    </v>
      </c>
      <c r="C1087" s="34"/>
      <c r="D1087" s="29" t="str">
        <f>IFERROR(__xludf.DUMMYFUNCTION("""COMPUTED_VALUE"""),"")</f>
        <v/>
      </c>
      <c r="H1087" s="55" t="s">
        <v>19</v>
      </c>
      <c r="I1087" s="55" t="s">
        <v>19</v>
      </c>
      <c r="J1087" s="55" t="s">
        <v>19</v>
      </c>
      <c r="K1087" s="55" t="str">
        <f t="shared" si="70"/>
        <v>Mpox</v>
      </c>
      <c r="M1087" s="40"/>
    </row>
    <row r="1088">
      <c r="A1088" s="34"/>
      <c r="B1088" s="53" t="str">
        <f>IFERROR(__xludf.DUMMYFUNCTION("""COMPUTED_VALUE"""),"William Osler Health System                    ")</f>
        <v>William Osler Health System                    </v>
      </c>
      <c r="C1088" s="34"/>
      <c r="D1088" s="29" t="str">
        <f>IFERROR(__xludf.DUMMYFUNCTION("""COMPUTED_VALUE"""),"")</f>
        <v/>
      </c>
      <c r="H1088" s="55" t="s">
        <v>19</v>
      </c>
      <c r="I1088" s="55" t="s">
        <v>19</v>
      </c>
      <c r="J1088" s="55" t="s">
        <v>19</v>
      </c>
      <c r="K1088" s="55" t="str">
        <f t="shared" si="70"/>
        <v>Mpox</v>
      </c>
      <c r="M1088" s="40"/>
    </row>
    <row r="1089">
      <c r="A1089" s="34" t="str">
        <f>IFERROR(__xludf.DUMMYFUNCTION("""COMPUTED_VALUE"""),"gene name menu")</f>
        <v>gene name menu</v>
      </c>
      <c r="B1089" s="53" t="str">
        <f>IFERROR(__xludf.DUMMYFUNCTION("""COMPUTED_VALUE"""),"                    ")</f>
        <v>                    </v>
      </c>
      <c r="C1089" s="34"/>
      <c r="D1089" s="29" t="str">
        <f>IFERROR(__xludf.DUMMYFUNCTION("""COMPUTED_VALUE"""),"")</f>
        <v/>
      </c>
      <c r="E1089" s="34"/>
      <c r="F1089" s="34"/>
      <c r="G1089" s="34"/>
      <c r="H1089" s="55"/>
      <c r="I1089" s="55"/>
      <c r="J1089" s="55"/>
      <c r="K1089" s="55" t="s">
        <v>26</v>
      </c>
      <c r="L1089" s="34" t="str">
        <f>LEFT(A1089, LEN(A1089) - 5)
</f>
        <v>gene name</v>
      </c>
      <c r="M1089" s="34" t="str">
        <f>VLOOKUP(L1089,'Field Reference Guide'!$B$6:$N$220,13,false)</f>
        <v>#N/A</v>
      </c>
    </row>
    <row r="1090">
      <c r="A1090" s="34"/>
      <c r="B1090" s="53" t="str">
        <f>IFERROR(__xludf.DUMMYFUNCTION("""COMPUTED_VALUE"""),"MPX (orf B6R)                    ")</f>
        <v>MPX (orf B6R)                    </v>
      </c>
      <c r="C1090" s="34" t="str">
        <f>IFERROR(__xludf.DUMMYFUNCTION("""COMPUTED_VALUE"""),"GENEPIO:0100505")</f>
        <v>GENEPIO:0100505</v>
      </c>
      <c r="D1090" s="29"/>
      <c r="H1090" s="55" t="s">
        <v>19</v>
      </c>
      <c r="I1090" s="55" t="s">
        <v>19</v>
      </c>
      <c r="J1090" s="55" t="s">
        <v>19</v>
      </c>
      <c r="K1090" s="55" t="str">
        <f t="shared" ref="K1090:K1095" si="71">K1089</f>
        <v>Mpox</v>
      </c>
      <c r="M1090" s="57" t="s">
        <v>26</v>
      </c>
    </row>
    <row r="1091">
      <c r="A1091" s="34"/>
      <c r="B1091" s="53" t="str">
        <f>IFERROR(__xludf.DUMMYFUNCTION("""COMPUTED_VALUE"""),"OPV (orf 17L)                    ")</f>
        <v>OPV (orf 17L)                    </v>
      </c>
      <c r="C1091" s="34" t="str">
        <f>IFERROR(__xludf.DUMMYFUNCTION("""COMPUTED_VALUE"""),"GENEPIO:0100506")</f>
        <v>GENEPIO:0100506</v>
      </c>
      <c r="D1091" s="29"/>
      <c r="H1091" s="55" t="s">
        <v>19</v>
      </c>
      <c r="I1091" s="55" t="s">
        <v>19</v>
      </c>
      <c r="J1091" s="55" t="s">
        <v>19</v>
      </c>
      <c r="K1091" s="55" t="str">
        <f t="shared" si="71"/>
        <v>Mpox</v>
      </c>
      <c r="M1091" s="40"/>
    </row>
    <row r="1092">
      <c r="A1092" s="34"/>
      <c r="B1092" s="53" t="str">
        <f>IFERROR(__xludf.DUMMYFUNCTION("""COMPUTED_VALUE"""),"OPHA (orf B2R)                    ")</f>
        <v>OPHA (orf B2R)                    </v>
      </c>
      <c r="C1092" s="34" t="str">
        <f>IFERROR(__xludf.DUMMYFUNCTION("""COMPUTED_VALUE"""),"GENEPIO:0100507")</f>
        <v>GENEPIO:0100507</v>
      </c>
      <c r="D1092" s="29"/>
      <c r="H1092" s="55" t="s">
        <v>19</v>
      </c>
      <c r="I1092" s="55" t="s">
        <v>19</v>
      </c>
      <c r="J1092" s="55" t="s">
        <v>19</v>
      </c>
      <c r="K1092" s="55" t="str">
        <f t="shared" si="71"/>
        <v>Mpox</v>
      </c>
      <c r="M1092" s="40"/>
    </row>
    <row r="1093">
      <c r="A1093" s="34"/>
      <c r="B1093" s="53" t="str">
        <f>IFERROR(__xludf.DUMMYFUNCTION("""COMPUTED_VALUE"""),"G2R_G (TNFR)                    ")</f>
        <v>G2R_G (TNFR)                    </v>
      </c>
      <c r="C1093" s="34" t="str">
        <f>IFERROR(__xludf.DUMMYFUNCTION("""COMPUTED_VALUE"""),"GENEPIO:0100510")</f>
        <v>GENEPIO:0100510</v>
      </c>
      <c r="D1093" s="29"/>
      <c r="H1093" s="55" t="s">
        <v>19</v>
      </c>
      <c r="I1093" s="55" t="s">
        <v>19</v>
      </c>
      <c r="J1093" s="55" t="s">
        <v>19</v>
      </c>
      <c r="K1093" s="55" t="str">
        <f t="shared" si="71"/>
        <v>Mpox</v>
      </c>
      <c r="M1093" s="40"/>
    </row>
    <row r="1094">
      <c r="A1094" s="34"/>
      <c r="B1094" s="53" t="str">
        <f>IFERROR(__xludf.DUMMYFUNCTION("""COMPUTED_VALUE"""),"G2R_G (WA)                    ")</f>
        <v>G2R_G (WA)                    </v>
      </c>
      <c r="C1094" s="34"/>
      <c r="D1094" s="29"/>
      <c r="H1094" s="55" t="s">
        <v>19</v>
      </c>
      <c r="I1094" s="55" t="s">
        <v>19</v>
      </c>
      <c r="J1094" s="55" t="s">
        <v>19</v>
      </c>
      <c r="K1094" s="55" t="str">
        <f t="shared" si="71"/>
        <v>Mpox</v>
      </c>
      <c r="M1094" s="40"/>
    </row>
    <row r="1095">
      <c r="A1095" s="34"/>
      <c r="B1095" s="53" t="str">
        <f>IFERROR(__xludf.DUMMYFUNCTION("""COMPUTED_VALUE"""),"RNAse P gene (RNP)                    ")</f>
        <v>RNAse P gene (RNP)                    </v>
      </c>
      <c r="C1095" s="34" t="str">
        <f>IFERROR(__xludf.DUMMYFUNCTION("""COMPUTED_VALUE"""),"GENEPIO:0100508")</f>
        <v>GENEPIO:0100508</v>
      </c>
      <c r="D1095" s="29"/>
      <c r="H1095" s="55" t="s">
        <v>19</v>
      </c>
      <c r="I1095" s="55" t="s">
        <v>19</v>
      </c>
      <c r="J1095" s="55" t="s">
        <v>19</v>
      </c>
      <c r="K1095" s="55" t="str">
        <f t="shared" si="71"/>
        <v>Mpox</v>
      </c>
      <c r="M1095" s="40"/>
    </row>
    <row r="1096" hidden="1">
      <c r="A1096" s="34" t="str">
        <f>IFERROR(__xludf.DUMMYFUNCTION("""COMPUTED_VALUE"""),"gene name international menu")</f>
        <v>gene name international menu</v>
      </c>
      <c r="B1096" s="53" t="str">
        <f>IFERROR(__xludf.DUMMYFUNCTION("""COMPUTED_VALUE"""),"                    ")</f>
        <v>                    </v>
      </c>
      <c r="C1096" s="34"/>
      <c r="D1096" s="29"/>
      <c r="E1096" s="34"/>
      <c r="F1096" s="34"/>
      <c r="G1096" s="34"/>
      <c r="H1096" s="55"/>
      <c r="I1096" s="55"/>
      <c r="J1096" s="55"/>
      <c r="K1096" s="55" t="s">
        <v>27</v>
      </c>
      <c r="L1096" s="34" t="str">
        <f>LEFT(A1096, LEN(A1096) - 5)
</f>
        <v>gene name international</v>
      </c>
      <c r="M1096" s="34" t="str">
        <f>VLOOKUP(L1096,'Field Reference Guide'!$B$6:$N$220,13,false)</f>
        <v>#N/A</v>
      </c>
    </row>
    <row r="1097" hidden="1">
      <c r="A1097" s="34"/>
      <c r="B1097" s="53" t="str">
        <f>IFERROR(__xludf.DUMMYFUNCTION("""COMPUTED_VALUE"""),"orthopoxvirus gene 001 (MPOX) [GENEPIO:0101207]                    ")</f>
        <v>orthopoxvirus gene 001 (MPOX) [GENEPIO:0101207]                    </v>
      </c>
      <c r="C1097" s="39" t="str">
        <f>IFERROR(__xludf.DUMMYFUNCTION("""COMPUTED_VALUE"""),"GENEPIO:0101207")</f>
        <v>GENEPIO:0101207</v>
      </c>
      <c r="D1097" s="29"/>
      <c r="H1097" s="55" t="s">
        <v>19</v>
      </c>
      <c r="I1097" s="55" t="s">
        <v>19</v>
      </c>
      <c r="J1097" s="55" t="s">
        <v>19</v>
      </c>
      <c r="K1097" s="55" t="str">
        <f t="shared" ref="K1097:K1264" si="72">K1096</f>
        <v>International</v>
      </c>
      <c r="M1097" s="57" t="s">
        <v>28</v>
      </c>
    </row>
    <row r="1098" hidden="1">
      <c r="A1098" s="34"/>
      <c r="B1098" s="53" t="str">
        <f>IFERROR(__xludf.DUMMYFUNCTION("""COMPUTED_VALUE"""),"orthopoxvirus gene 002 (MPOX) [GENEPIO:0101208]                    ")</f>
        <v>orthopoxvirus gene 002 (MPOX) [GENEPIO:0101208]                    </v>
      </c>
      <c r="C1098" s="39" t="str">
        <f>IFERROR(__xludf.DUMMYFUNCTION("""COMPUTED_VALUE"""),"GENEPIO:0101208")</f>
        <v>GENEPIO:0101208</v>
      </c>
      <c r="D1098" s="29"/>
      <c r="H1098" s="55" t="s">
        <v>19</v>
      </c>
      <c r="I1098" s="55" t="s">
        <v>19</v>
      </c>
      <c r="J1098" s="55" t="s">
        <v>19</v>
      </c>
      <c r="K1098" s="55" t="str">
        <f t="shared" si="72"/>
        <v>International</v>
      </c>
      <c r="M1098" s="40"/>
    </row>
    <row r="1099" hidden="1">
      <c r="A1099" s="34"/>
      <c r="B1099" s="53" t="str">
        <f>IFERROR(__xludf.DUMMYFUNCTION("""COMPUTED_VALUE"""),"orthopoxvirus gene 003 (MPOX) [GENEPIO:0101209]                    ")</f>
        <v>orthopoxvirus gene 003 (MPOX) [GENEPIO:0101209]                    </v>
      </c>
      <c r="C1099" s="39" t="str">
        <f>IFERROR(__xludf.DUMMYFUNCTION("""COMPUTED_VALUE"""),"GENEPIO:0101209")</f>
        <v>GENEPIO:0101209</v>
      </c>
      <c r="D1099" s="29"/>
      <c r="H1099" s="55" t="s">
        <v>19</v>
      </c>
      <c r="I1099" s="55" t="s">
        <v>19</v>
      </c>
      <c r="J1099" s="55" t="s">
        <v>19</v>
      </c>
      <c r="K1099" s="55" t="str">
        <f t="shared" si="72"/>
        <v>International</v>
      </c>
      <c r="M1099" s="40"/>
    </row>
    <row r="1100" hidden="1">
      <c r="A1100" s="34"/>
      <c r="B1100" s="53" t="str">
        <f>IFERROR(__xludf.DUMMYFUNCTION("""COMPUTED_VALUE"""),"orthopoxvirus gene 015 (MPOX) [GENEPIO:0101210]                    ")</f>
        <v>orthopoxvirus gene 015 (MPOX) [GENEPIO:0101210]                    </v>
      </c>
      <c r="C1100" s="39" t="str">
        <f>IFERROR(__xludf.DUMMYFUNCTION("""COMPUTED_VALUE"""),"GENEPIO:0101210")</f>
        <v>GENEPIO:0101210</v>
      </c>
      <c r="D1100" s="29"/>
      <c r="H1100" s="55" t="s">
        <v>19</v>
      </c>
      <c r="I1100" s="55" t="s">
        <v>19</v>
      </c>
      <c r="J1100" s="55" t="s">
        <v>19</v>
      </c>
      <c r="K1100" s="55" t="str">
        <f t="shared" si="72"/>
        <v>International</v>
      </c>
      <c r="M1100" s="40"/>
    </row>
    <row r="1101" hidden="1">
      <c r="A1101" s="34"/>
      <c r="B1101" s="53" t="str">
        <f>IFERROR(__xludf.DUMMYFUNCTION("""COMPUTED_VALUE"""),"orthopoxvirus gene 019 (MPOX) [GENEPIO:0101211]                    ")</f>
        <v>orthopoxvirus gene 019 (MPOX) [GENEPIO:0101211]                    </v>
      </c>
      <c r="C1101" s="39" t="str">
        <f>IFERROR(__xludf.DUMMYFUNCTION("""COMPUTED_VALUE"""),"GENEPIO:0101211")</f>
        <v>GENEPIO:0101211</v>
      </c>
      <c r="D1101" s="29"/>
      <c r="H1101" s="55" t="s">
        <v>19</v>
      </c>
      <c r="I1101" s="55" t="s">
        <v>19</v>
      </c>
      <c r="J1101" s="55" t="s">
        <v>19</v>
      </c>
      <c r="K1101" s="55" t="str">
        <f t="shared" si="72"/>
        <v>International</v>
      </c>
      <c r="M1101" s="40"/>
    </row>
    <row r="1102" hidden="1">
      <c r="A1102" s="34"/>
      <c r="B1102" s="53" t="str">
        <f>IFERROR(__xludf.DUMMYFUNCTION("""COMPUTED_VALUE"""),"orthopoxvirus gene 021 (MPOX) [GENEPIO:0101212]                    ")</f>
        <v>orthopoxvirus gene 021 (MPOX) [GENEPIO:0101212]                    </v>
      </c>
      <c r="C1102" s="39" t="str">
        <f>IFERROR(__xludf.DUMMYFUNCTION("""COMPUTED_VALUE"""),"GENEPIO:0101212")</f>
        <v>GENEPIO:0101212</v>
      </c>
      <c r="D1102" s="29"/>
      <c r="H1102" s="55" t="s">
        <v>19</v>
      </c>
      <c r="I1102" s="55" t="s">
        <v>19</v>
      </c>
      <c r="J1102" s="55" t="s">
        <v>19</v>
      </c>
      <c r="K1102" s="55" t="str">
        <f t="shared" si="72"/>
        <v>International</v>
      </c>
      <c r="M1102" s="40"/>
    </row>
    <row r="1103" hidden="1">
      <c r="A1103" s="34"/>
      <c r="B1103" s="53" t="str">
        <f>IFERROR(__xludf.DUMMYFUNCTION("""COMPUTED_VALUE"""),"orthopoxvirus gene 022 (MPOX) [GENEPIO:0101213]                    ")</f>
        <v>orthopoxvirus gene 022 (MPOX) [GENEPIO:0101213]                    </v>
      </c>
      <c r="C1103" s="39" t="str">
        <f>IFERROR(__xludf.DUMMYFUNCTION("""COMPUTED_VALUE"""),"GENEPIO:0101213")</f>
        <v>GENEPIO:0101213</v>
      </c>
      <c r="D1103" s="29"/>
      <c r="H1103" s="55" t="s">
        <v>19</v>
      </c>
      <c r="I1103" s="55" t="s">
        <v>19</v>
      </c>
      <c r="J1103" s="55" t="s">
        <v>19</v>
      </c>
      <c r="K1103" s="55" t="str">
        <f t="shared" si="72"/>
        <v>International</v>
      </c>
      <c r="M1103" s="40"/>
    </row>
    <row r="1104" hidden="1">
      <c r="A1104" s="34"/>
      <c r="B1104" s="53" t="str">
        <f>IFERROR(__xludf.DUMMYFUNCTION("""COMPUTED_VALUE"""),"orthopoxvirus gene 023 (MPOX) [GENEPIO:0101214]                    ")</f>
        <v>orthopoxvirus gene 023 (MPOX) [GENEPIO:0101214]                    </v>
      </c>
      <c r="C1104" s="39" t="str">
        <f>IFERROR(__xludf.DUMMYFUNCTION("""COMPUTED_VALUE"""),"GENEPIO:0101214")</f>
        <v>GENEPIO:0101214</v>
      </c>
      <c r="D1104" s="29"/>
      <c r="H1104" s="55" t="s">
        <v>19</v>
      </c>
      <c r="I1104" s="55" t="s">
        <v>19</v>
      </c>
      <c r="J1104" s="55" t="s">
        <v>19</v>
      </c>
      <c r="K1104" s="55" t="str">
        <f t="shared" si="72"/>
        <v>International</v>
      </c>
      <c r="M1104" s="40"/>
    </row>
    <row r="1105" hidden="1">
      <c r="A1105" s="34"/>
      <c r="B1105" s="53" t="str">
        <f>IFERROR(__xludf.DUMMYFUNCTION("""COMPUTED_VALUE"""),"orthopoxvirus gene 024 (MPOX) [GENEPIO:0101215]                    ")</f>
        <v>orthopoxvirus gene 024 (MPOX) [GENEPIO:0101215]                    </v>
      </c>
      <c r="C1105" s="39" t="str">
        <f>IFERROR(__xludf.DUMMYFUNCTION("""COMPUTED_VALUE"""),"GENEPIO:0101215")</f>
        <v>GENEPIO:0101215</v>
      </c>
      <c r="D1105" s="29"/>
      <c r="H1105" s="55" t="s">
        <v>19</v>
      </c>
      <c r="I1105" s="55" t="s">
        <v>19</v>
      </c>
      <c r="J1105" s="55" t="s">
        <v>19</v>
      </c>
      <c r="K1105" s="55" t="str">
        <f t="shared" si="72"/>
        <v>International</v>
      </c>
      <c r="M1105" s="40"/>
    </row>
    <row r="1106" hidden="1">
      <c r="A1106" s="34"/>
      <c r="B1106" s="53" t="str">
        <f>IFERROR(__xludf.DUMMYFUNCTION("""COMPUTED_VALUE"""),"orthopoxvirus gene 025 (MPOX) [GENEPIO:0101216]                    ")</f>
        <v>orthopoxvirus gene 025 (MPOX) [GENEPIO:0101216]                    </v>
      </c>
      <c r="C1106" s="39" t="str">
        <f>IFERROR(__xludf.DUMMYFUNCTION("""COMPUTED_VALUE"""),"GENEPIO:0101216")</f>
        <v>GENEPIO:0101216</v>
      </c>
      <c r="D1106" s="29"/>
      <c r="H1106" s="55" t="s">
        <v>19</v>
      </c>
      <c r="I1106" s="55" t="s">
        <v>19</v>
      </c>
      <c r="J1106" s="55" t="s">
        <v>19</v>
      </c>
      <c r="K1106" s="55" t="str">
        <f t="shared" si="72"/>
        <v>International</v>
      </c>
      <c r="M1106" s="40"/>
    </row>
    <row r="1107" hidden="1">
      <c r="A1107" s="34"/>
      <c r="B1107" s="53" t="str">
        <f>IFERROR(__xludf.DUMMYFUNCTION("""COMPUTED_VALUE"""),"orthopoxvirus gene 027 (MPOX) [GENEPIO:0101217]                    ")</f>
        <v>orthopoxvirus gene 027 (MPOX) [GENEPIO:0101217]                    </v>
      </c>
      <c r="C1107" s="39" t="str">
        <f>IFERROR(__xludf.DUMMYFUNCTION("""COMPUTED_VALUE"""),"GENEPIO:0101217")</f>
        <v>GENEPIO:0101217</v>
      </c>
      <c r="D1107" s="29"/>
      <c r="H1107" s="55" t="s">
        <v>19</v>
      </c>
      <c r="I1107" s="55" t="s">
        <v>19</v>
      </c>
      <c r="J1107" s="55" t="s">
        <v>19</v>
      </c>
      <c r="K1107" s="55" t="str">
        <f t="shared" si="72"/>
        <v>International</v>
      </c>
      <c r="M1107" s="40"/>
    </row>
    <row r="1108" hidden="1">
      <c r="A1108" s="34"/>
      <c r="B1108" s="53" t="str">
        <f>IFERROR(__xludf.DUMMYFUNCTION("""COMPUTED_VALUE"""),"orthopoxvirus gene 029 (MPOX) [GENEPIO:0101218]                    ")</f>
        <v>orthopoxvirus gene 029 (MPOX) [GENEPIO:0101218]                    </v>
      </c>
      <c r="C1108" s="39" t="str">
        <f>IFERROR(__xludf.DUMMYFUNCTION("""COMPUTED_VALUE"""),"GENEPIO:0101218")</f>
        <v>GENEPIO:0101218</v>
      </c>
      <c r="D1108" s="29"/>
      <c r="H1108" s="55" t="s">
        <v>19</v>
      </c>
      <c r="I1108" s="55" t="s">
        <v>19</v>
      </c>
      <c r="J1108" s="55" t="s">
        <v>19</v>
      </c>
      <c r="K1108" s="55" t="str">
        <f t="shared" si="72"/>
        <v>International</v>
      </c>
      <c r="M1108" s="40"/>
    </row>
    <row r="1109" hidden="1">
      <c r="A1109" s="34"/>
      <c r="B1109" s="53" t="str">
        <f>IFERROR(__xludf.DUMMYFUNCTION("""COMPUTED_VALUE"""),"orthopoxvirus gene 030 (MPOX) [GENEPIO:0101219]                    ")</f>
        <v>orthopoxvirus gene 030 (MPOX) [GENEPIO:0101219]                    </v>
      </c>
      <c r="C1109" s="39" t="str">
        <f>IFERROR(__xludf.DUMMYFUNCTION("""COMPUTED_VALUE"""),"GENEPIO:0101219")</f>
        <v>GENEPIO:0101219</v>
      </c>
      <c r="D1109" s="29"/>
      <c r="H1109" s="55" t="s">
        <v>19</v>
      </c>
      <c r="I1109" s="55" t="s">
        <v>19</v>
      </c>
      <c r="J1109" s="55" t="s">
        <v>19</v>
      </c>
      <c r="K1109" s="55" t="str">
        <f t="shared" si="72"/>
        <v>International</v>
      </c>
      <c r="M1109" s="40"/>
    </row>
    <row r="1110" hidden="1">
      <c r="A1110" s="34"/>
      <c r="B1110" s="53" t="str">
        <f>IFERROR(__xludf.DUMMYFUNCTION("""COMPUTED_VALUE"""),"orthopoxvirus gene 031 (MPOX) [GENEPIO:0101220]                    ")</f>
        <v>orthopoxvirus gene 031 (MPOX) [GENEPIO:0101220]                    </v>
      </c>
      <c r="C1110" s="39" t="str">
        <f>IFERROR(__xludf.DUMMYFUNCTION("""COMPUTED_VALUE"""),"GENEPIO:0101220")</f>
        <v>GENEPIO:0101220</v>
      </c>
      <c r="D1110" s="29"/>
      <c r="H1110" s="55" t="s">
        <v>19</v>
      </c>
      <c r="I1110" s="55" t="s">
        <v>19</v>
      </c>
      <c r="J1110" s="55" t="s">
        <v>19</v>
      </c>
      <c r="K1110" s="55" t="str">
        <f t="shared" si="72"/>
        <v>International</v>
      </c>
      <c r="M1110" s="40"/>
    </row>
    <row r="1111" hidden="1">
      <c r="A1111" s="34"/>
      <c r="B1111" s="53" t="str">
        <f>IFERROR(__xludf.DUMMYFUNCTION("""COMPUTED_VALUE"""),"orthopoxvirus gene 034 (MPOX) [GENEPIO:0101221]                    ")</f>
        <v>orthopoxvirus gene 034 (MPOX) [GENEPIO:0101221]                    </v>
      </c>
      <c r="C1111" s="39" t="str">
        <f>IFERROR(__xludf.DUMMYFUNCTION("""COMPUTED_VALUE"""),"GENEPIO:0101221")</f>
        <v>GENEPIO:0101221</v>
      </c>
      <c r="D1111" s="29"/>
      <c r="H1111" s="55" t="s">
        <v>19</v>
      </c>
      <c r="I1111" s="55" t="s">
        <v>19</v>
      </c>
      <c r="J1111" s="55" t="s">
        <v>19</v>
      </c>
      <c r="K1111" s="55" t="str">
        <f t="shared" si="72"/>
        <v>International</v>
      </c>
      <c r="M1111" s="40"/>
    </row>
    <row r="1112" hidden="1">
      <c r="A1112" s="34"/>
      <c r="B1112" s="53" t="str">
        <f>IFERROR(__xludf.DUMMYFUNCTION("""COMPUTED_VALUE"""),"orthopoxvirus gene 035 (MPOX) [GENEPIO:0101222]                    ")</f>
        <v>orthopoxvirus gene 035 (MPOX) [GENEPIO:0101222]                    </v>
      </c>
      <c r="C1112" s="39" t="str">
        <f>IFERROR(__xludf.DUMMYFUNCTION("""COMPUTED_VALUE"""),"GENEPIO:0101222")</f>
        <v>GENEPIO:0101222</v>
      </c>
      <c r="D1112" s="29"/>
      <c r="H1112" s="55" t="s">
        <v>19</v>
      </c>
      <c r="I1112" s="55" t="s">
        <v>19</v>
      </c>
      <c r="J1112" s="55" t="s">
        <v>19</v>
      </c>
      <c r="K1112" s="55" t="str">
        <f t="shared" si="72"/>
        <v>International</v>
      </c>
      <c r="M1112" s="40"/>
    </row>
    <row r="1113" hidden="1">
      <c r="A1113" s="34"/>
      <c r="B1113" s="53" t="str">
        <f>IFERROR(__xludf.DUMMYFUNCTION("""COMPUTED_VALUE"""),"orthopoxvirus gene 036 (MPOX) [GENEPIO:0101223]                    ")</f>
        <v>orthopoxvirus gene 036 (MPOX) [GENEPIO:0101223]                    </v>
      </c>
      <c r="C1113" s="39" t="str">
        <f>IFERROR(__xludf.DUMMYFUNCTION("""COMPUTED_VALUE"""),"GENEPIO:0101223")</f>
        <v>GENEPIO:0101223</v>
      </c>
      <c r="D1113" s="29"/>
      <c r="H1113" s="55" t="s">
        <v>19</v>
      </c>
      <c r="I1113" s="55" t="s">
        <v>19</v>
      </c>
      <c r="J1113" s="55" t="s">
        <v>19</v>
      </c>
      <c r="K1113" s="55" t="str">
        <f t="shared" si="72"/>
        <v>International</v>
      </c>
      <c r="M1113" s="40"/>
    </row>
    <row r="1114" hidden="1">
      <c r="A1114" s="34"/>
      <c r="B1114" s="53" t="str">
        <f>IFERROR(__xludf.DUMMYFUNCTION("""COMPUTED_VALUE"""),"orthopoxvirus gene 037 (MPOX) [GENEPIO:0101224]                    ")</f>
        <v>orthopoxvirus gene 037 (MPOX) [GENEPIO:0101224]                    </v>
      </c>
      <c r="C1114" s="39" t="str">
        <f>IFERROR(__xludf.DUMMYFUNCTION("""COMPUTED_VALUE"""),"GENEPIO:0101224")</f>
        <v>GENEPIO:0101224</v>
      </c>
      <c r="D1114" s="29"/>
      <c r="H1114" s="55" t="s">
        <v>19</v>
      </c>
      <c r="I1114" s="55" t="s">
        <v>19</v>
      </c>
      <c r="J1114" s="55" t="s">
        <v>19</v>
      </c>
      <c r="K1114" s="55" t="str">
        <f t="shared" si="72"/>
        <v>International</v>
      </c>
      <c r="M1114" s="40"/>
    </row>
    <row r="1115" hidden="1">
      <c r="A1115" s="34"/>
      <c r="B1115" s="53" t="str">
        <f>IFERROR(__xludf.DUMMYFUNCTION("""COMPUTED_VALUE"""),"orthopoxvirus gene 038 (MPOX) [GENEPIO:0101225]                    ")</f>
        <v>orthopoxvirus gene 038 (MPOX) [GENEPIO:0101225]                    </v>
      </c>
      <c r="C1115" s="39" t="str">
        <f>IFERROR(__xludf.DUMMYFUNCTION("""COMPUTED_VALUE"""),"GENEPIO:0101225")</f>
        <v>GENEPIO:0101225</v>
      </c>
      <c r="D1115" s="29"/>
      <c r="H1115" s="55" t="s">
        <v>19</v>
      </c>
      <c r="I1115" s="55" t="s">
        <v>19</v>
      </c>
      <c r="J1115" s="55" t="s">
        <v>19</v>
      </c>
      <c r="K1115" s="55" t="str">
        <f t="shared" si="72"/>
        <v>International</v>
      </c>
      <c r="M1115" s="40"/>
    </row>
    <row r="1116" hidden="1">
      <c r="A1116" s="34"/>
      <c r="B1116" s="53" t="str">
        <f>IFERROR(__xludf.DUMMYFUNCTION("""COMPUTED_VALUE"""),"orthopoxvirus gene 039 (MPOX) [GENEPIO:0101226]                    ")</f>
        <v>orthopoxvirus gene 039 (MPOX) [GENEPIO:0101226]                    </v>
      </c>
      <c r="C1116" s="39" t="str">
        <f>IFERROR(__xludf.DUMMYFUNCTION("""COMPUTED_VALUE"""),"GENEPIO:0101226")</f>
        <v>GENEPIO:0101226</v>
      </c>
      <c r="D1116" s="29"/>
      <c r="H1116" s="55" t="s">
        <v>19</v>
      </c>
      <c r="I1116" s="55" t="s">
        <v>19</v>
      </c>
      <c r="J1116" s="55" t="s">
        <v>19</v>
      </c>
      <c r="K1116" s="55" t="str">
        <f t="shared" si="72"/>
        <v>International</v>
      </c>
      <c r="M1116" s="40"/>
    </row>
    <row r="1117" hidden="1">
      <c r="A1117" s="34"/>
      <c r="B1117" s="53" t="str">
        <f>IFERROR(__xludf.DUMMYFUNCTION("""COMPUTED_VALUE"""),"orthopoxvirus gene 040 (MPOX) [GENEPIO:0101227]                    ")</f>
        <v>orthopoxvirus gene 040 (MPOX) [GENEPIO:0101227]                    </v>
      </c>
      <c r="C1117" s="39" t="str">
        <f>IFERROR(__xludf.DUMMYFUNCTION("""COMPUTED_VALUE"""),"GENEPIO:0101227")</f>
        <v>GENEPIO:0101227</v>
      </c>
      <c r="D1117" s="29"/>
      <c r="H1117" s="55" t="s">
        <v>19</v>
      </c>
      <c r="I1117" s="55" t="s">
        <v>19</v>
      </c>
      <c r="J1117" s="55" t="s">
        <v>19</v>
      </c>
      <c r="K1117" s="55" t="str">
        <f t="shared" si="72"/>
        <v>International</v>
      </c>
      <c r="M1117" s="40"/>
    </row>
    <row r="1118" hidden="1">
      <c r="A1118" s="34"/>
      <c r="B1118" s="53" t="str">
        <f>IFERROR(__xludf.DUMMYFUNCTION("""COMPUTED_VALUE"""),"orthopoxvirus gene 042 (MPOX) [GENEPIO:0101228]                    ")</f>
        <v>orthopoxvirus gene 042 (MPOX) [GENEPIO:0101228]                    </v>
      </c>
      <c r="C1118" s="39" t="str">
        <f>IFERROR(__xludf.DUMMYFUNCTION("""COMPUTED_VALUE"""),"GENEPIO:0101228")</f>
        <v>GENEPIO:0101228</v>
      </c>
      <c r="D1118" s="29"/>
      <c r="H1118" s="55" t="s">
        <v>19</v>
      </c>
      <c r="I1118" s="55" t="s">
        <v>19</v>
      </c>
      <c r="J1118" s="55" t="s">
        <v>19</v>
      </c>
      <c r="K1118" s="55" t="str">
        <f t="shared" si="72"/>
        <v>International</v>
      </c>
      <c r="M1118" s="40"/>
    </row>
    <row r="1119" hidden="1">
      <c r="A1119" s="34"/>
      <c r="B1119" s="53" t="str">
        <f>IFERROR(__xludf.DUMMYFUNCTION("""COMPUTED_VALUE"""),"orthopoxvirus gene 043 (MPOX) [GENEPIO:0101229]                    ")</f>
        <v>orthopoxvirus gene 043 (MPOX) [GENEPIO:0101229]                    </v>
      </c>
      <c r="C1119" s="39" t="str">
        <f>IFERROR(__xludf.DUMMYFUNCTION("""COMPUTED_VALUE"""),"GENEPIO:0101229")</f>
        <v>GENEPIO:0101229</v>
      </c>
      <c r="D1119" s="29"/>
      <c r="H1119" s="55" t="s">
        <v>19</v>
      </c>
      <c r="I1119" s="55" t="s">
        <v>19</v>
      </c>
      <c r="J1119" s="55" t="s">
        <v>19</v>
      </c>
      <c r="K1119" s="55" t="str">
        <f t="shared" si="72"/>
        <v>International</v>
      </c>
      <c r="M1119" s="40"/>
    </row>
    <row r="1120" hidden="1">
      <c r="A1120" s="34"/>
      <c r="B1120" s="53" t="str">
        <f>IFERROR(__xludf.DUMMYFUNCTION("""COMPUTED_VALUE"""),"orthopoxvirus gene 044 (MPOX) [GENEPIO:0101230]                    ")</f>
        <v>orthopoxvirus gene 044 (MPOX) [GENEPIO:0101230]                    </v>
      </c>
      <c r="C1120" s="39" t="str">
        <f>IFERROR(__xludf.DUMMYFUNCTION("""COMPUTED_VALUE"""),"GENEPIO:0101230")</f>
        <v>GENEPIO:0101230</v>
      </c>
      <c r="D1120" s="29"/>
      <c r="H1120" s="55" t="s">
        <v>19</v>
      </c>
      <c r="I1120" s="55" t="s">
        <v>19</v>
      </c>
      <c r="J1120" s="55" t="s">
        <v>19</v>
      </c>
      <c r="K1120" s="55" t="str">
        <f t="shared" si="72"/>
        <v>International</v>
      </c>
      <c r="M1120" s="40"/>
    </row>
    <row r="1121" hidden="1">
      <c r="A1121" s="34"/>
      <c r="B1121" s="53" t="str">
        <f>IFERROR(__xludf.DUMMYFUNCTION("""COMPUTED_VALUE"""),"orthopoxvirus gene 045 (MPOX) [GENEPIO:0101231]                    ")</f>
        <v>orthopoxvirus gene 045 (MPOX) [GENEPIO:0101231]                    </v>
      </c>
      <c r="C1121" s="39" t="str">
        <f>IFERROR(__xludf.DUMMYFUNCTION("""COMPUTED_VALUE"""),"GENEPIO:0101231")</f>
        <v>GENEPIO:0101231</v>
      </c>
      <c r="D1121" s="29"/>
      <c r="H1121" s="55" t="s">
        <v>19</v>
      </c>
      <c r="I1121" s="55" t="s">
        <v>19</v>
      </c>
      <c r="J1121" s="55" t="s">
        <v>19</v>
      </c>
      <c r="K1121" s="55" t="str">
        <f t="shared" si="72"/>
        <v>International</v>
      </c>
      <c r="M1121" s="40"/>
    </row>
    <row r="1122" hidden="1">
      <c r="A1122" s="34"/>
      <c r="B1122" s="53" t="str">
        <f>IFERROR(__xludf.DUMMYFUNCTION("""COMPUTED_VALUE"""),"orthopoxvirus gene 046 (MPOX) [GENEPIO:0101232]                    ")</f>
        <v>orthopoxvirus gene 046 (MPOX) [GENEPIO:0101232]                    </v>
      </c>
      <c r="C1122" s="39" t="str">
        <f>IFERROR(__xludf.DUMMYFUNCTION("""COMPUTED_VALUE"""),"GENEPIO:0101232")</f>
        <v>GENEPIO:0101232</v>
      </c>
      <c r="D1122" s="29"/>
      <c r="H1122" s="55" t="s">
        <v>19</v>
      </c>
      <c r="I1122" s="55" t="s">
        <v>19</v>
      </c>
      <c r="J1122" s="55" t="s">
        <v>19</v>
      </c>
      <c r="K1122" s="55" t="str">
        <f t="shared" si="72"/>
        <v>International</v>
      </c>
      <c r="M1122" s="40"/>
    </row>
    <row r="1123" hidden="1">
      <c r="A1123" s="34"/>
      <c r="B1123" s="53" t="str">
        <f>IFERROR(__xludf.DUMMYFUNCTION("""COMPUTED_VALUE"""),"orthopoxvirus gene 047 (MPOX) [GENEPIO:0101233]                    ")</f>
        <v>orthopoxvirus gene 047 (MPOX) [GENEPIO:0101233]                    </v>
      </c>
      <c r="C1123" s="39" t="str">
        <f>IFERROR(__xludf.DUMMYFUNCTION("""COMPUTED_VALUE"""),"GENEPIO:0101233")</f>
        <v>GENEPIO:0101233</v>
      </c>
      <c r="D1123" s="29"/>
      <c r="H1123" s="55" t="s">
        <v>19</v>
      </c>
      <c r="I1123" s="55" t="s">
        <v>19</v>
      </c>
      <c r="J1123" s="55" t="s">
        <v>19</v>
      </c>
      <c r="K1123" s="55" t="str">
        <f t="shared" si="72"/>
        <v>International</v>
      </c>
      <c r="M1123" s="40"/>
    </row>
    <row r="1124" hidden="1">
      <c r="A1124" s="34"/>
      <c r="B1124" s="53" t="str">
        <f>IFERROR(__xludf.DUMMYFUNCTION("""COMPUTED_VALUE"""),"orthopoxvirus gene 048 (MPOX) [GENEPIO:0101234]                    ")</f>
        <v>orthopoxvirus gene 048 (MPOX) [GENEPIO:0101234]                    </v>
      </c>
      <c r="C1124" s="39" t="str">
        <f>IFERROR(__xludf.DUMMYFUNCTION("""COMPUTED_VALUE"""),"GENEPIO:0101234")</f>
        <v>GENEPIO:0101234</v>
      </c>
      <c r="D1124" s="29"/>
      <c r="H1124" s="55" t="s">
        <v>19</v>
      </c>
      <c r="I1124" s="55" t="s">
        <v>19</v>
      </c>
      <c r="J1124" s="55" t="s">
        <v>19</v>
      </c>
      <c r="K1124" s="55" t="str">
        <f t="shared" si="72"/>
        <v>International</v>
      </c>
      <c r="M1124" s="40"/>
    </row>
    <row r="1125" hidden="1">
      <c r="A1125" s="34"/>
      <c r="B1125" s="53" t="str">
        <f>IFERROR(__xludf.DUMMYFUNCTION("""COMPUTED_VALUE"""),"orthopoxvirus gene 049 (MPOX) [GENEPIO:0101235]                    ")</f>
        <v>orthopoxvirus gene 049 (MPOX) [GENEPIO:0101235]                    </v>
      </c>
      <c r="C1125" s="39" t="str">
        <f>IFERROR(__xludf.DUMMYFUNCTION("""COMPUTED_VALUE"""),"GENEPIO:0101235")</f>
        <v>GENEPIO:0101235</v>
      </c>
      <c r="D1125" s="29"/>
      <c r="H1125" s="55" t="s">
        <v>19</v>
      </c>
      <c r="I1125" s="55" t="s">
        <v>19</v>
      </c>
      <c r="J1125" s="55" t="s">
        <v>19</v>
      </c>
      <c r="K1125" s="55" t="str">
        <f t="shared" si="72"/>
        <v>International</v>
      </c>
      <c r="M1125" s="40"/>
    </row>
    <row r="1126" hidden="1">
      <c r="A1126" s="34"/>
      <c r="B1126" s="53" t="str">
        <f>IFERROR(__xludf.DUMMYFUNCTION("""COMPUTED_VALUE"""),"orthopoxvirus gene 050 (MPOX) [GENEPIO:0101236]                    ")</f>
        <v>orthopoxvirus gene 050 (MPOX) [GENEPIO:0101236]                    </v>
      </c>
      <c r="C1126" s="39" t="str">
        <f>IFERROR(__xludf.DUMMYFUNCTION("""COMPUTED_VALUE"""),"GENEPIO:0101236")</f>
        <v>GENEPIO:0101236</v>
      </c>
      <c r="D1126" s="29"/>
      <c r="H1126" s="55" t="s">
        <v>19</v>
      </c>
      <c r="I1126" s="55" t="s">
        <v>19</v>
      </c>
      <c r="J1126" s="55" t="s">
        <v>19</v>
      </c>
      <c r="K1126" s="55" t="str">
        <f t="shared" si="72"/>
        <v>International</v>
      </c>
      <c r="M1126" s="40"/>
    </row>
    <row r="1127" hidden="1">
      <c r="A1127" s="34"/>
      <c r="B1127" s="53" t="str">
        <f>IFERROR(__xludf.DUMMYFUNCTION("""COMPUTED_VALUE"""),"orthopoxvirus gene 051 (MPOX) [GENEPIO:0101237]                    ")</f>
        <v>orthopoxvirus gene 051 (MPOX) [GENEPIO:0101237]                    </v>
      </c>
      <c r="C1127" s="39" t="str">
        <f>IFERROR(__xludf.DUMMYFUNCTION("""COMPUTED_VALUE"""),"GENEPIO:0101237")</f>
        <v>GENEPIO:0101237</v>
      </c>
      <c r="D1127" s="29"/>
      <c r="H1127" s="55" t="s">
        <v>19</v>
      </c>
      <c r="I1127" s="55" t="s">
        <v>19</v>
      </c>
      <c r="J1127" s="55" t="s">
        <v>19</v>
      </c>
      <c r="K1127" s="55" t="str">
        <f t="shared" si="72"/>
        <v>International</v>
      </c>
      <c r="M1127" s="40"/>
    </row>
    <row r="1128" hidden="1">
      <c r="A1128" s="34"/>
      <c r="B1128" s="53" t="str">
        <f>IFERROR(__xludf.DUMMYFUNCTION("""COMPUTED_VALUE"""),"orthopoxvirus gene 052 (MPOX) [GENEPIO:0101238]                    ")</f>
        <v>orthopoxvirus gene 052 (MPOX) [GENEPIO:0101238]                    </v>
      </c>
      <c r="C1128" s="39" t="str">
        <f>IFERROR(__xludf.DUMMYFUNCTION("""COMPUTED_VALUE"""),"GENEPIO:0101238")</f>
        <v>GENEPIO:0101238</v>
      </c>
      <c r="D1128" s="29"/>
      <c r="H1128" s="55" t="s">
        <v>19</v>
      </c>
      <c r="I1128" s="55" t="s">
        <v>19</v>
      </c>
      <c r="J1128" s="55" t="s">
        <v>19</v>
      </c>
      <c r="K1128" s="55" t="str">
        <f t="shared" si="72"/>
        <v>International</v>
      </c>
      <c r="M1128" s="40"/>
    </row>
    <row r="1129" hidden="1">
      <c r="A1129" s="34"/>
      <c r="B1129" s="53" t="str">
        <f>IFERROR(__xludf.DUMMYFUNCTION("""COMPUTED_VALUE"""),"orthopoxvirus gene 053 (MPOX) [GENEPIO:0101239]                    ")</f>
        <v>orthopoxvirus gene 053 (MPOX) [GENEPIO:0101239]                    </v>
      </c>
      <c r="C1129" s="39" t="str">
        <f>IFERROR(__xludf.DUMMYFUNCTION("""COMPUTED_VALUE"""),"GENEPIO:0101239")</f>
        <v>GENEPIO:0101239</v>
      </c>
      <c r="D1129" s="29"/>
      <c r="H1129" s="55" t="s">
        <v>19</v>
      </c>
      <c r="I1129" s="55" t="s">
        <v>19</v>
      </c>
      <c r="J1129" s="55" t="s">
        <v>19</v>
      </c>
      <c r="K1129" s="55" t="str">
        <f t="shared" si="72"/>
        <v>International</v>
      </c>
      <c r="M1129" s="40"/>
    </row>
    <row r="1130" hidden="1">
      <c r="A1130" s="34"/>
      <c r="B1130" s="53" t="str">
        <f>IFERROR(__xludf.DUMMYFUNCTION("""COMPUTED_VALUE"""),"orthopoxvirus gene 054 (MPOX) [GENEPIO:0101240]                    ")</f>
        <v>orthopoxvirus gene 054 (MPOX) [GENEPIO:0101240]                    </v>
      </c>
      <c r="C1130" s="39" t="str">
        <f>IFERROR(__xludf.DUMMYFUNCTION("""COMPUTED_VALUE"""),"GENEPIO:0101240")</f>
        <v>GENEPIO:0101240</v>
      </c>
      <c r="D1130" s="29"/>
      <c r="H1130" s="55" t="s">
        <v>19</v>
      </c>
      <c r="I1130" s="55" t="s">
        <v>19</v>
      </c>
      <c r="J1130" s="55" t="s">
        <v>19</v>
      </c>
      <c r="K1130" s="55" t="str">
        <f t="shared" si="72"/>
        <v>International</v>
      </c>
      <c r="M1130" s="40"/>
    </row>
    <row r="1131" hidden="1">
      <c r="A1131" s="34"/>
      <c r="B1131" s="53" t="str">
        <f>IFERROR(__xludf.DUMMYFUNCTION("""COMPUTED_VALUE"""),"orthopoxvirus gene 055 (MPOX) [GENEPIO:0101241]                    ")</f>
        <v>orthopoxvirus gene 055 (MPOX) [GENEPIO:0101241]                    </v>
      </c>
      <c r="C1131" s="39" t="str">
        <f>IFERROR(__xludf.DUMMYFUNCTION("""COMPUTED_VALUE"""),"GENEPIO:0101241")</f>
        <v>GENEPIO:0101241</v>
      </c>
      <c r="D1131" s="29"/>
      <c r="H1131" s="55" t="s">
        <v>19</v>
      </c>
      <c r="I1131" s="55" t="s">
        <v>19</v>
      </c>
      <c r="J1131" s="55" t="s">
        <v>19</v>
      </c>
      <c r="K1131" s="55" t="str">
        <f t="shared" si="72"/>
        <v>International</v>
      </c>
      <c r="M1131" s="40"/>
    </row>
    <row r="1132" hidden="1">
      <c r="A1132" s="34"/>
      <c r="B1132" s="53" t="str">
        <f>IFERROR(__xludf.DUMMYFUNCTION("""COMPUTED_VALUE"""),"orthopoxvirus gene 056 (MPOX) [GENEPIO:0101242]                    ")</f>
        <v>orthopoxvirus gene 056 (MPOX) [GENEPIO:0101242]                    </v>
      </c>
      <c r="C1132" s="39" t="str">
        <f>IFERROR(__xludf.DUMMYFUNCTION("""COMPUTED_VALUE"""),"GENEPIO:0101242")</f>
        <v>GENEPIO:0101242</v>
      </c>
      <c r="D1132" s="29"/>
      <c r="H1132" s="55" t="s">
        <v>19</v>
      </c>
      <c r="I1132" s="55" t="s">
        <v>19</v>
      </c>
      <c r="J1132" s="55" t="s">
        <v>19</v>
      </c>
      <c r="K1132" s="55" t="str">
        <f t="shared" si="72"/>
        <v>International</v>
      </c>
      <c r="M1132" s="40"/>
    </row>
    <row r="1133" hidden="1">
      <c r="A1133" s="34"/>
      <c r="B1133" s="53" t="str">
        <f>IFERROR(__xludf.DUMMYFUNCTION("""COMPUTED_VALUE"""),"orthopoxvirus gene 057 (MPOX) [GENEPIO:0101243]                    ")</f>
        <v>orthopoxvirus gene 057 (MPOX) [GENEPIO:0101243]                    </v>
      </c>
      <c r="C1133" s="39" t="str">
        <f>IFERROR(__xludf.DUMMYFUNCTION("""COMPUTED_VALUE"""),"GENEPIO:0101243")</f>
        <v>GENEPIO:0101243</v>
      </c>
      <c r="D1133" s="29"/>
      <c r="H1133" s="55" t="s">
        <v>19</v>
      </c>
      <c r="I1133" s="55" t="s">
        <v>19</v>
      </c>
      <c r="J1133" s="55" t="s">
        <v>19</v>
      </c>
      <c r="K1133" s="55" t="str">
        <f t="shared" si="72"/>
        <v>International</v>
      </c>
      <c r="M1133" s="40"/>
    </row>
    <row r="1134" hidden="1">
      <c r="A1134" s="34"/>
      <c r="B1134" s="53" t="str">
        <f>IFERROR(__xludf.DUMMYFUNCTION("""COMPUTED_VALUE"""),"orthopoxvirus gene 058 (MPOX) [GENEPIO:0101244]                    ")</f>
        <v>orthopoxvirus gene 058 (MPOX) [GENEPIO:0101244]                    </v>
      </c>
      <c r="C1134" s="39" t="str">
        <f>IFERROR(__xludf.DUMMYFUNCTION("""COMPUTED_VALUE"""),"GENEPIO:0101244")</f>
        <v>GENEPIO:0101244</v>
      </c>
      <c r="D1134" s="29"/>
      <c r="H1134" s="55" t="s">
        <v>19</v>
      </c>
      <c r="I1134" s="55" t="s">
        <v>19</v>
      </c>
      <c r="J1134" s="55" t="s">
        <v>19</v>
      </c>
      <c r="K1134" s="55" t="str">
        <f t="shared" si="72"/>
        <v>International</v>
      </c>
      <c r="M1134" s="40"/>
    </row>
    <row r="1135" hidden="1">
      <c r="A1135" s="34"/>
      <c r="B1135" s="53" t="str">
        <f>IFERROR(__xludf.DUMMYFUNCTION("""COMPUTED_VALUE"""),"orthopoxvirus gene 059 (MPOX) [GENEPIO:0101245]                    ")</f>
        <v>orthopoxvirus gene 059 (MPOX) [GENEPIO:0101245]                    </v>
      </c>
      <c r="C1135" s="39" t="str">
        <f>IFERROR(__xludf.DUMMYFUNCTION("""COMPUTED_VALUE"""),"GENEPIO:0101245")</f>
        <v>GENEPIO:0101245</v>
      </c>
      <c r="D1135" s="29"/>
      <c r="H1135" s="55" t="s">
        <v>19</v>
      </c>
      <c r="I1135" s="55" t="s">
        <v>19</v>
      </c>
      <c r="J1135" s="55" t="s">
        <v>19</v>
      </c>
      <c r="K1135" s="55" t="str">
        <f t="shared" si="72"/>
        <v>International</v>
      </c>
      <c r="M1135" s="40"/>
    </row>
    <row r="1136" hidden="1">
      <c r="A1136" s="34"/>
      <c r="B1136" s="53" t="str">
        <f>IFERROR(__xludf.DUMMYFUNCTION("""COMPUTED_VALUE"""),"orthopoxvirus gene 060 (MPOX) [GENEPIO:0101246]                    ")</f>
        <v>orthopoxvirus gene 060 (MPOX) [GENEPIO:0101246]                    </v>
      </c>
      <c r="C1136" s="39" t="str">
        <f>IFERROR(__xludf.DUMMYFUNCTION("""COMPUTED_VALUE"""),"GENEPIO:0101246")</f>
        <v>GENEPIO:0101246</v>
      </c>
      <c r="D1136" s="29"/>
      <c r="H1136" s="55" t="s">
        <v>19</v>
      </c>
      <c r="I1136" s="55" t="s">
        <v>19</v>
      </c>
      <c r="J1136" s="55" t="s">
        <v>19</v>
      </c>
      <c r="K1136" s="55" t="str">
        <f t="shared" si="72"/>
        <v>International</v>
      </c>
      <c r="M1136" s="40"/>
    </row>
    <row r="1137" hidden="1">
      <c r="A1137" s="34"/>
      <c r="B1137" s="53" t="str">
        <f>IFERROR(__xludf.DUMMYFUNCTION("""COMPUTED_VALUE"""),"orthopoxvirus gene 061 (MPOX) [GENEPIO:0101247]                    ")</f>
        <v>orthopoxvirus gene 061 (MPOX) [GENEPIO:0101247]                    </v>
      </c>
      <c r="C1137" s="39" t="str">
        <f>IFERROR(__xludf.DUMMYFUNCTION("""COMPUTED_VALUE"""),"GENEPIO:0101247")</f>
        <v>GENEPIO:0101247</v>
      </c>
      <c r="D1137" s="29"/>
      <c r="H1137" s="55" t="s">
        <v>19</v>
      </c>
      <c r="I1137" s="55" t="s">
        <v>19</v>
      </c>
      <c r="J1137" s="55" t="s">
        <v>19</v>
      </c>
      <c r="K1137" s="55" t="str">
        <f t="shared" si="72"/>
        <v>International</v>
      </c>
      <c r="M1137" s="40"/>
    </row>
    <row r="1138" hidden="1">
      <c r="A1138" s="34"/>
      <c r="B1138" s="53" t="str">
        <f>IFERROR(__xludf.DUMMYFUNCTION("""COMPUTED_VALUE"""),"orthopoxvirus gene 062 (MPOX) [GENEPIO:0101248]                    ")</f>
        <v>orthopoxvirus gene 062 (MPOX) [GENEPIO:0101248]                    </v>
      </c>
      <c r="C1138" s="39" t="str">
        <f>IFERROR(__xludf.DUMMYFUNCTION("""COMPUTED_VALUE"""),"GENEPIO:0101248")</f>
        <v>GENEPIO:0101248</v>
      </c>
      <c r="D1138" s="29"/>
      <c r="H1138" s="55" t="s">
        <v>19</v>
      </c>
      <c r="I1138" s="55" t="s">
        <v>19</v>
      </c>
      <c r="J1138" s="55" t="s">
        <v>19</v>
      </c>
      <c r="K1138" s="55" t="str">
        <f t="shared" si="72"/>
        <v>International</v>
      </c>
      <c r="M1138" s="40"/>
    </row>
    <row r="1139" hidden="1">
      <c r="A1139" s="34"/>
      <c r="B1139" s="53" t="str">
        <f>IFERROR(__xludf.DUMMYFUNCTION("""COMPUTED_VALUE"""),"orthopoxvirus gene 063 (MPOX) [GENEPIO:0101249]                    ")</f>
        <v>orthopoxvirus gene 063 (MPOX) [GENEPIO:0101249]                    </v>
      </c>
      <c r="C1139" s="39" t="str">
        <f>IFERROR(__xludf.DUMMYFUNCTION("""COMPUTED_VALUE"""),"GENEPIO:0101249")</f>
        <v>GENEPIO:0101249</v>
      </c>
      <c r="D1139" s="29"/>
      <c r="H1139" s="55" t="s">
        <v>19</v>
      </c>
      <c r="I1139" s="55" t="s">
        <v>19</v>
      </c>
      <c r="J1139" s="55" t="s">
        <v>19</v>
      </c>
      <c r="K1139" s="55" t="str">
        <f t="shared" si="72"/>
        <v>International</v>
      </c>
      <c r="M1139" s="40"/>
    </row>
    <row r="1140" hidden="1">
      <c r="A1140" s="34"/>
      <c r="B1140" s="53" t="str">
        <f>IFERROR(__xludf.DUMMYFUNCTION("""COMPUTED_VALUE"""),"orthopoxvirus gene 064 (MPOX) [GENEPIO:0101250]                    ")</f>
        <v>orthopoxvirus gene 064 (MPOX) [GENEPIO:0101250]                    </v>
      </c>
      <c r="C1140" s="39" t="str">
        <f>IFERROR(__xludf.DUMMYFUNCTION("""COMPUTED_VALUE"""),"GENEPIO:0101250")</f>
        <v>GENEPIO:0101250</v>
      </c>
      <c r="D1140" s="29"/>
      <c r="H1140" s="55" t="s">
        <v>19</v>
      </c>
      <c r="I1140" s="55" t="s">
        <v>19</v>
      </c>
      <c r="J1140" s="55" t="s">
        <v>19</v>
      </c>
      <c r="K1140" s="55" t="str">
        <f t="shared" si="72"/>
        <v>International</v>
      </c>
      <c r="M1140" s="40"/>
    </row>
    <row r="1141" hidden="1">
      <c r="A1141" s="34"/>
      <c r="B1141" s="53" t="str">
        <f>IFERROR(__xludf.DUMMYFUNCTION("""COMPUTED_VALUE"""),"orthopoxvirus gene 065 (MPOX) [GENEPIO:0101251]                    ")</f>
        <v>orthopoxvirus gene 065 (MPOX) [GENEPIO:0101251]                    </v>
      </c>
      <c r="C1141" s="39" t="str">
        <f>IFERROR(__xludf.DUMMYFUNCTION("""COMPUTED_VALUE"""),"GENEPIO:0101251")</f>
        <v>GENEPIO:0101251</v>
      </c>
      <c r="D1141" s="29"/>
      <c r="H1141" s="55" t="s">
        <v>19</v>
      </c>
      <c r="I1141" s="55" t="s">
        <v>19</v>
      </c>
      <c r="J1141" s="55" t="s">
        <v>19</v>
      </c>
      <c r="K1141" s="55" t="str">
        <f t="shared" si="72"/>
        <v>International</v>
      </c>
      <c r="M1141" s="40"/>
    </row>
    <row r="1142" hidden="1">
      <c r="A1142" s="34"/>
      <c r="B1142" s="53" t="str">
        <f>IFERROR(__xludf.DUMMYFUNCTION("""COMPUTED_VALUE"""),"orthopoxvirus gene 066 (MPOX) [GENEPIO:0101252]                    ")</f>
        <v>orthopoxvirus gene 066 (MPOX) [GENEPIO:0101252]                    </v>
      </c>
      <c r="C1142" s="39" t="str">
        <f>IFERROR(__xludf.DUMMYFUNCTION("""COMPUTED_VALUE"""),"GENEPIO:0101252")</f>
        <v>GENEPIO:0101252</v>
      </c>
      <c r="D1142" s="29"/>
      <c r="H1142" s="55" t="s">
        <v>19</v>
      </c>
      <c r="I1142" s="55" t="s">
        <v>19</v>
      </c>
      <c r="J1142" s="55" t="s">
        <v>19</v>
      </c>
      <c r="K1142" s="55" t="str">
        <f t="shared" si="72"/>
        <v>International</v>
      </c>
      <c r="M1142" s="40"/>
    </row>
    <row r="1143" hidden="1">
      <c r="A1143" s="34"/>
      <c r="B1143" s="53" t="str">
        <f>IFERROR(__xludf.DUMMYFUNCTION("""COMPUTED_VALUE"""),"orthopoxvirus gene 068 (MPOX) [GENEPIO:0101253]                    ")</f>
        <v>orthopoxvirus gene 068 (MPOX) [GENEPIO:0101253]                    </v>
      </c>
      <c r="C1143" s="39" t="str">
        <f>IFERROR(__xludf.DUMMYFUNCTION("""COMPUTED_VALUE"""),"GENEPIO:0101253")</f>
        <v>GENEPIO:0101253</v>
      </c>
      <c r="D1143" s="29"/>
      <c r="H1143" s="55" t="s">
        <v>19</v>
      </c>
      <c r="I1143" s="55" t="s">
        <v>19</v>
      </c>
      <c r="J1143" s="55" t="s">
        <v>19</v>
      </c>
      <c r="K1143" s="55" t="str">
        <f t="shared" si="72"/>
        <v>International</v>
      </c>
      <c r="M1143" s="40"/>
    </row>
    <row r="1144" hidden="1">
      <c r="A1144" s="34"/>
      <c r="B1144" s="53" t="str">
        <f>IFERROR(__xludf.DUMMYFUNCTION("""COMPUTED_VALUE"""),"orthopoxvirus gene 069 (MPOX) [GENEPIO:0101254]                    ")</f>
        <v>orthopoxvirus gene 069 (MPOX) [GENEPIO:0101254]                    </v>
      </c>
      <c r="C1144" s="39" t="str">
        <f>IFERROR(__xludf.DUMMYFUNCTION("""COMPUTED_VALUE"""),"GENEPIO:0101254")</f>
        <v>GENEPIO:0101254</v>
      </c>
      <c r="D1144" s="29"/>
      <c r="H1144" s="55" t="s">
        <v>19</v>
      </c>
      <c r="I1144" s="55" t="s">
        <v>19</v>
      </c>
      <c r="J1144" s="55" t="s">
        <v>19</v>
      </c>
      <c r="K1144" s="55" t="str">
        <f t="shared" si="72"/>
        <v>International</v>
      </c>
      <c r="M1144" s="40"/>
    </row>
    <row r="1145" hidden="1">
      <c r="A1145" s="34"/>
      <c r="B1145" s="53" t="str">
        <f>IFERROR(__xludf.DUMMYFUNCTION("""COMPUTED_VALUE"""),"orthopoxvirus gene 070 (MPOX) [GENEPIO:0101255]                    ")</f>
        <v>orthopoxvirus gene 070 (MPOX) [GENEPIO:0101255]                    </v>
      </c>
      <c r="C1145" s="39" t="str">
        <f>IFERROR(__xludf.DUMMYFUNCTION("""COMPUTED_VALUE"""),"GENEPIO:0101255")</f>
        <v>GENEPIO:0101255</v>
      </c>
      <c r="D1145" s="29"/>
      <c r="H1145" s="55" t="s">
        <v>19</v>
      </c>
      <c r="I1145" s="55" t="s">
        <v>19</v>
      </c>
      <c r="J1145" s="55" t="s">
        <v>19</v>
      </c>
      <c r="K1145" s="55" t="str">
        <f t="shared" si="72"/>
        <v>International</v>
      </c>
      <c r="M1145" s="40"/>
    </row>
    <row r="1146" hidden="1">
      <c r="A1146" s="34"/>
      <c r="B1146" s="53" t="str">
        <f>IFERROR(__xludf.DUMMYFUNCTION("""COMPUTED_VALUE"""),"orthopoxvirus gene 071 (MPOX) [GENEPIO:0101256]                    ")</f>
        <v>orthopoxvirus gene 071 (MPOX) [GENEPIO:0101256]                    </v>
      </c>
      <c r="C1146" s="39" t="str">
        <f>IFERROR(__xludf.DUMMYFUNCTION("""COMPUTED_VALUE"""),"GENEPIO:0101256")</f>
        <v>GENEPIO:0101256</v>
      </c>
      <c r="D1146" s="29"/>
      <c r="H1146" s="55" t="s">
        <v>19</v>
      </c>
      <c r="I1146" s="55" t="s">
        <v>19</v>
      </c>
      <c r="J1146" s="55" t="s">
        <v>19</v>
      </c>
      <c r="K1146" s="55" t="str">
        <f t="shared" si="72"/>
        <v>International</v>
      </c>
      <c r="M1146" s="40"/>
    </row>
    <row r="1147" hidden="1">
      <c r="A1147" s="34"/>
      <c r="B1147" s="53" t="str">
        <f>IFERROR(__xludf.DUMMYFUNCTION("""COMPUTED_VALUE"""),"orthopoxvirus gene 072 (MPOX) [GENEPIO:0101257]                    ")</f>
        <v>orthopoxvirus gene 072 (MPOX) [GENEPIO:0101257]                    </v>
      </c>
      <c r="C1147" s="39" t="str">
        <f>IFERROR(__xludf.DUMMYFUNCTION("""COMPUTED_VALUE"""),"GENEPIO:0101257")</f>
        <v>GENEPIO:0101257</v>
      </c>
      <c r="D1147" s="29"/>
      <c r="H1147" s="55" t="s">
        <v>19</v>
      </c>
      <c r="I1147" s="55" t="s">
        <v>19</v>
      </c>
      <c r="J1147" s="55" t="s">
        <v>19</v>
      </c>
      <c r="K1147" s="55" t="str">
        <f t="shared" si="72"/>
        <v>International</v>
      </c>
      <c r="M1147" s="40"/>
    </row>
    <row r="1148" hidden="1">
      <c r="A1148" s="34"/>
      <c r="B1148" s="53" t="str">
        <f>IFERROR(__xludf.DUMMYFUNCTION("""COMPUTED_VALUE"""),"orthopoxvirus gene 073 (MPOX) [GENEPIO:0101258]                    ")</f>
        <v>orthopoxvirus gene 073 (MPOX) [GENEPIO:0101258]                    </v>
      </c>
      <c r="C1148" s="39" t="str">
        <f>IFERROR(__xludf.DUMMYFUNCTION("""COMPUTED_VALUE"""),"GENEPIO:0101258")</f>
        <v>GENEPIO:0101258</v>
      </c>
      <c r="D1148" s="29"/>
      <c r="H1148" s="55" t="s">
        <v>19</v>
      </c>
      <c r="I1148" s="55" t="s">
        <v>19</v>
      </c>
      <c r="J1148" s="55" t="s">
        <v>19</v>
      </c>
      <c r="K1148" s="55" t="str">
        <f t="shared" si="72"/>
        <v>International</v>
      </c>
      <c r="M1148" s="40"/>
    </row>
    <row r="1149" hidden="1">
      <c r="A1149" s="34"/>
      <c r="B1149" s="53" t="str">
        <f>IFERROR(__xludf.DUMMYFUNCTION("""COMPUTED_VALUE"""),"orthopoxvirus gene 074 (MPOX) [GENEPIO:0101259]                    ")</f>
        <v>orthopoxvirus gene 074 (MPOX) [GENEPIO:0101259]                    </v>
      </c>
      <c r="C1149" s="39" t="str">
        <f>IFERROR(__xludf.DUMMYFUNCTION("""COMPUTED_VALUE"""),"GENEPIO:0101259")</f>
        <v>GENEPIO:0101259</v>
      </c>
      <c r="D1149" s="29"/>
      <c r="H1149" s="55" t="s">
        <v>19</v>
      </c>
      <c r="I1149" s="55" t="s">
        <v>19</v>
      </c>
      <c r="J1149" s="55" t="s">
        <v>19</v>
      </c>
      <c r="K1149" s="55" t="str">
        <f t="shared" si="72"/>
        <v>International</v>
      </c>
      <c r="M1149" s="40"/>
    </row>
    <row r="1150" hidden="1">
      <c r="A1150" s="34"/>
      <c r="B1150" s="53" t="str">
        <f>IFERROR(__xludf.DUMMYFUNCTION("""COMPUTED_VALUE"""),"orthopoxvirus gene 075 (MPOX) [GENEPIO:0101260]                    ")</f>
        <v>orthopoxvirus gene 075 (MPOX) [GENEPIO:0101260]                    </v>
      </c>
      <c r="C1150" s="39" t="str">
        <f>IFERROR(__xludf.DUMMYFUNCTION("""COMPUTED_VALUE"""),"GENEPIO:0101260")</f>
        <v>GENEPIO:0101260</v>
      </c>
      <c r="D1150" s="29"/>
      <c r="H1150" s="55" t="s">
        <v>19</v>
      </c>
      <c r="I1150" s="55" t="s">
        <v>19</v>
      </c>
      <c r="J1150" s="55" t="s">
        <v>19</v>
      </c>
      <c r="K1150" s="55" t="str">
        <f t="shared" si="72"/>
        <v>International</v>
      </c>
      <c r="M1150" s="40"/>
    </row>
    <row r="1151" hidden="1">
      <c r="A1151" s="34"/>
      <c r="B1151" s="53" t="str">
        <f>IFERROR(__xludf.DUMMYFUNCTION("""COMPUTED_VALUE"""),"orthopoxvirus gene 076 (MPOX) [GENEPIO:0101261]                    ")</f>
        <v>orthopoxvirus gene 076 (MPOX) [GENEPIO:0101261]                    </v>
      </c>
      <c r="C1151" s="39" t="str">
        <f>IFERROR(__xludf.DUMMYFUNCTION("""COMPUTED_VALUE"""),"GENEPIO:0101261")</f>
        <v>GENEPIO:0101261</v>
      </c>
      <c r="D1151" s="29"/>
      <c r="H1151" s="55" t="s">
        <v>19</v>
      </c>
      <c r="I1151" s="55" t="s">
        <v>19</v>
      </c>
      <c r="J1151" s="55" t="s">
        <v>19</v>
      </c>
      <c r="K1151" s="55" t="str">
        <f t="shared" si="72"/>
        <v>International</v>
      </c>
      <c r="M1151" s="40"/>
    </row>
    <row r="1152" hidden="1">
      <c r="A1152" s="34"/>
      <c r="B1152" s="53" t="str">
        <f>IFERROR(__xludf.DUMMYFUNCTION("""COMPUTED_VALUE"""),"orthopoxvirus gene 077 (MPOX) [GENEPIO:0101262]                    ")</f>
        <v>orthopoxvirus gene 077 (MPOX) [GENEPIO:0101262]                    </v>
      </c>
      <c r="C1152" s="39" t="str">
        <f>IFERROR(__xludf.DUMMYFUNCTION("""COMPUTED_VALUE"""),"GENEPIO:0101262")</f>
        <v>GENEPIO:0101262</v>
      </c>
      <c r="D1152" s="29"/>
      <c r="H1152" s="55" t="s">
        <v>19</v>
      </c>
      <c r="I1152" s="55" t="s">
        <v>19</v>
      </c>
      <c r="J1152" s="55" t="s">
        <v>19</v>
      </c>
      <c r="K1152" s="55" t="str">
        <f t="shared" si="72"/>
        <v>International</v>
      </c>
      <c r="M1152" s="40"/>
    </row>
    <row r="1153" hidden="1">
      <c r="A1153" s="34"/>
      <c r="B1153" s="53" t="str">
        <f>IFERROR(__xludf.DUMMYFUNCTION("""COMPUTED_VALUE"""),"orthopoxvirus gene 078 (MPOX) [GENEPIO:0101263]                    ")</f>
        <v>orthopoxvirus gene 078 (MPOX) [GENEPIO:0101263]                    </v>
      </c>
      <c r="C1153" s="39" t="str">
        <f>IFERROR(__xludf.DUMMYFUNCTION("""COMPUTED_VALUE"""),"GENEPIO:0101263")</f>
        <v>GENEPIO:0101263</v>
      </c>
      <c r="D1153" s="29"/>
      <c r="H1153" s="55" t="s">
        <v>19</v>
      </c>
      <c r="I1153" s="55" t="s">
        <v>19</v>
      </c>
      <c r="J1153" s="55" t="s">
        <v>19</v>
      </c>
      <c r="K1153" s="55" t="str">
        <f t="shared" si="72"/>
        <v>International</v>
      </c>
      <c r="M1153" s="40"/>
    </row>
    <row r="1154" hidden="1">
      <c r="A1154" s="34"/>
      <c r="B1154" s="53" t="str">
        <f>IFERROR(__xludf.DUMMYFUNCTION("""COMPUTED_VALUE"""),"orthopoxvirus gene 079 (MPOX) [GENEPIO:0101264]                    ")</f>
        <v>orthopoxvirus gene 079 (MPOX) [GENEPIO:0101264]                    </v>
      </c>
      <c r="C1154" s="39" t="str">
        <f>IFERROR(__xludf.DUMMYFUNCTION("""COMPUTED_VALUE"""),"GENEPIO:0101264")</f>
        <v>GENEPIO:0101264</v>
      </c>
      <c r="D1154" s="29"/>
      <c r="H1154" s="55" t="s">
        <v>19</v>
      </c>
      <c r="I1154" s="55" t="s">
        <v>19</v>
      </c>
      <c r="J1154" s="55" t="s">
        <v>19</v>
      </c>
      <c r="K1154" s="55" t="str">
        <f t="shared" si="72"/>
        <v>International</v>
      </c>
      <c r="M1154" s="40"/>
    </row>
    <row r="1155" hidden="1">
      <c r="A1155" s="34"/>
      <c r="B1155" s="53" t="str">
        <f>IFERROR(__xludf.DUMMYFUNCTION("""COMPUTED_VALUE"""),"orthopoxvirus gene 080 (MPOX) [GENEPIO:0101265]                    ")</f>
        <v>orthopoxvirus gene 080 (MPOX) [GENEPIO:0101265]                    </v>
      </c>
      <c r="C1155" s="39" t="str">
        <f>IFERROR(__xludf.DUMMYFUNCTION("""COMPUTED_VALUE"""),"GENEPIO:0101265")</f>
        <v>GENEPIO:0101265</v>
      </c>
      <c r="D1155" s="29"/>
      <c r="H1155" s="55" t="s">
        <v>19</v>
      </c>
      <c r="I1155" s="55" t="s">
        <v>19</v>
      </c>
      <c r="J1155" s="55" t="s">
        <v>19</v>
      </c>
      <c r="K1155" s="55" t="str">
        <f t="shared" si="72"/>
        <v>International</v>
      </c>
      <c r="M1155" s="40"/>
    </row>
    <row r="1156" hidden="1">
      <c r="A1156" s="34"/>
      <c r="B1156" s="53" t="str">
        <f>IFERROR(__xludf.DUMMYFUNCTION("""COMPUTED_VALUE"""),"orthopoxvirus gene 081 (MPOX) [GENEPIO:0101266]                    ")</f>
        <v>orthopoxvirus gene 081 (MPOX) [GENEPIO:0101266]                    </v>
      </c>
      <c r="C1156" s="39" t="str">
        <f>IFERROR(__xludf.DUMMYFUNCTION("""COMPUTED_VALUE"""),"GENEPIO:0101266")</f>
        <v>GENEPIO:0101266</v>
      </c>
      <c r="D1156" s="29"/>
      <c r="H1156" s="55" t="s">
        <v>19</v>
      </c>
      <c r="I1156" s="55" t="s">
        <v>19</v>
      </c>
      <c r="J1156" s="55" t="s">
        <v>19</v>
      </c>
      <c r="K1156" s="55" t="str">
        <f t="shared" si="72"/>
        <v>International</v>
      </c>
      <c r="M1156" s="40"/>
    </row>
    <row r="1157" hidden="1">
      <c r="A1157" s="34"/>
      <c r="B1157" s="53" t="str">
        <f>IFERROR(__xludf.DUMMYFUNCTION("""COMPUTED_VALUE"""),"orthopoxvirus gene 082 (MPOX) [GENEPIO:0101267]                    ")</f>
        <v>orthopoxvirus gene 082 (MPOX) [GENEPIO:0101267]                    </v>
      </c>
      <c r="C1157" s="39" t="str">
        <f>IFERROR(__xludf.DUMMYFUNCTION("""COMPUTED_VALUE"""),"GENEPIO:0101267")</f>
        <v>GENEPIO:0101267</v>
      </c>
      <c r="D1157" s="29"/>
      <c r="H1157" s="55" t="s">
        <v>19</v>
      </c>
      <c r="I1157" s="55" t="s">
        <v>19</v>
      </c>
      <c r="J1157" s="55" t="s">
        <v>19</v>
      </c>
      <c r="K1157" s="55" t="str">
        <f t="shared" si="72"/>
        <v>International</v>
      </c>
      <c r="M1157" s="40"/>
    </row>
    <row r="1158" hidden="1">
      <c r="A1158" s="34"/>
      <c r="B1158" s="53" t="str">
        <f>IFERROR(__xludf.DUMMYFUNCTION("""COMPUTED_VALUE"""),"orthopoxvirus gene 083 (MPOX) [GENEPIO:0101268]                    ")</f>
        <v>orthopoxvirus gene 083 (MPOX) [GENEPIO:0101268]                    </v>
      </c>
      <c r="C1158" s="39" t="str">
        <f>IFERROR(__xludf.DUMMYFUNCTION("""COMPUTED_VALUE"""),"GENEPIO:0101268")</f>
        <v>GENEPIO:0101268</v>
      </c>
      <c r="D1158" s="29"/>
      <c r="H1158" s="55" t="s">
        <v>19</v>
      </c>
      <c r="I1158" s="55" t="s">
        <v>19</v>
      </c>
      <c r="J1158" s="55" t="s">
        <v>19</v>
      </c>
      <c r="K1158" s="55" t="str">
        <f t="shared" si="72"/>
        <v>International</v>
      </c>
      <c r="M1158" s="40"/>
    </row>
    <row r="1159" hidden="1">
      <c r="A1159" s="34"/>
      <c r="B1159" s="53" t="str">
        <f>IFERROR(__xludf.DUMMYFUNCTION("""COMPUTED_VALUE"""),"orthopoxvirus gene 084 (MPOX) [GENEPIO:0101269]                    ")</f>
        <v>orthopoxvirus gene 084 (MPOX) [GENEPIO:0101269]                    </v>
      </c>
      <c r="C1159" s="39" t="str">
        <f>IFERROR(__xludf.DUMMYFUNCTION("""COMPUTED_VALUE"""),"GENEPIO:0101269")</f>
        <v>GENEPIO:0101269</v>
      </c>
      <c r="D1159" s="29"/>
      <c r="H1159" s="55" t="s">
        <v>19</v>
      </c>
      <c r="I1159" s="55" t="s">
        <v>19</v>
      </c>
      <c r="J1159" s="55" t="s">
        <v>19</v>
      </c>
      <c r="K1159" s="55" t="str">
        <f t="shared" si="72"/>
        <v>International</v>
      </c>
      <c r="M1159" s="40"/>
    </row>
    <row r="1160" hidden="1">
      <c r="A1160" s="34"/>
      <c r="B1160" s="53" t="str">
        <f>IFERROR(__xludf.DUMMYFUNCTION("""COMPUTED_VALUE"""),"orthopoxvirus gene 085 (MPOX) [GENEPIO:0101270]                    ")</f>
        <v>orthopoxvirus gene 085 (MPOX) [GENEPIO:0101270]                    </v>
      </c>
      <c r="C1160" s="39" t="str">
        <f>IFERROR(__xludf.DUMMYFUNCTION("""COMPUTED_VALUE"""),"GENEPIO:0101270")</f>
        <v>GENEPIO:0101270</v>
      </c>
      <c r="D1160" s="29"/>
      <c r="H1160" s="55" t="s">
        <v>19</v>
      </c>
      <c r="I1160" s="55" t="s">
        <v>19</v>
      </c>
      <c r="J1160" s="55" t="s">
        <v>19</v>
      </c>
      <c r="K1160" s="55" t="str">
        <f t="shared" si="72"/>
        <v>International</v>
      </c>
      <c r="M1160" s="40"/>
    </row>
    <row r="1161" hidden="1">
      <c r="A1161" s="34"/>
      <c r="B1161" s="53" t="str">
        <f>IFERROR(__xludf.DUMMYFUNCTION("""COMPUTED_VALUE"""),"orthopoxvirus gene 086 (MPOX) [GENEPIO:0101271]                    ")</f>
        <v>orthopoxvirus gene 086 (MPOX) [GENEPIO:0101271]                    </v>
      </c>
      <c r="C1161" s="39" t="str">
        <f>IFERROR(__xludf.DUMMYFUNCTION("""COMPUTED_VALUE"""),"GENEPIO:0101271")</f>
        <v>GENEPIO:0101271</v>
      </c>
      <c r="D1161" s="29"/>
      <c r="H1161" s="55" t="s">
        <v>19</v>
      </c>
      <c r="I1161" s="55" t="s">
        <v>19</v>
      </c>
      <c r="J1161" s="55" t="s">
        <v>19</v>
      </c>
      <c r="K1161" s="55" t="str">
        <f t="shared" si="72"/>
        <v>International</v>
      </c>
      <c r="M1161" s="40"/>
    </row>
    <row r="1162" hidden="1">
      <c r="A1162" s="34"/>
      <c r="B1162" s="53" t="str">
        <f>IFERROR(__xludf.DUMMYFUNCTION("""COMPUTED_VALUE"""),"orthopoxvirus gene 087 (MPOX) [GENEPIO:0101272]                    ")</f>
        <v>orthopoxvirus gene 087 (MPOX) [GENEPIO:0101272]                    </v>
      </c>
      <c r="C1162" s="39" t="str">
        <f>IFERROR(__xludf.DUMMYFUNCTION("""COMPUTED_VALUE"""),"GENEPIO:0101272")</f>
        <v>GENEPIO:0101272</v>
      </c>
      <c r="D1162" s="29"/>
      <c r="H1162" s="55" t="s">
        <v>19</v>
      </c>
      <c r="I1162" s="55" t="s">
        <v>19</v>
      </c>
      <c r="J1162" s="55" t="s">
        <v>19</v>
      </c>
      <c r="K1162" s="55" t="str">
        <f t="shared" si="72"/>
        <v>International</v>
      </c>
      <c r="M1162" s="40"/>
    </row>
    <row r="1163" hidden="1">
      <c r="A1163" s="34"/>
      <c r="B1163" s="53" t="str">
        <f>IFERROR(__xludf.DUMMYFUNCTION("""COMPUTED_VALUE"""),"orthopoxvirus gene 088 (MPOX) [GENEPIO:0101273]                    ")</f>
        <v>orthopoxvirus gene 088 (MPOX) [GENEPIO:0101273]                    </v>
      </c>
      <c r="C1163" s="39" t="str">
        <f>IFERROR(__xludf.DUMMYFUNCTION("""COMPUTED_VALUE"""),"GENEPIO:0101273")</f>
        <v>GENEPIO:0101273</v>
      </c>
      <c r="D1163" s="29"/>
      <c r="H1163" s="55" t="s">
        <v>19</v>
      </c>
      <c r="I1163" s="55" t="s">
        <v>19</v>
      </c>
      <c r="J1163" s="55" t="s">
        <v>19</v>
      </c>
      <c r="K1163" s="55" t="str">
        <f t="shared" si="72"/>
        <v>International</v>
      </c>
      <c r="M1163" s="40"/>
    </row>
    <row r="1164" hidden="1">
      <c r="A1164" s="34"/>
      <c r="B1164" s="53" t="str">
        <f>IFERROR(__xludf.DUMMYFUNCTION("""COMPUTED_VALUE"""),"orthopoxvirus gene 089 (MPOX) [GENEPIO:0101274]                    ")</f>
        <v>orthopoxvirus gene 089 (MPOX) [GENEPIO:0101274]                    </v>
      </c>
      <c r="C1164" s="39" t="str">
        <f>IFERROR(__xludf.DUMMYFUNCTION("""COMPUTED_VALUE"""),"GENEPIO:0101274")</f>
        <v>GENEPIO:0101274</v>
      </c>
      <c r="D1164" s="29"/>
      <c r="H1164" s="55" t="s">
        <v>19</v>
      </c>
      <c r="I1164" s="55" t="s">
        <v>19</v>
      </c>
      <c r="J1164" s="55" t="s">
        <v>19</v>
      </c>
      <c r="K1164" s="55" t="str">
        <f t="shared" si="72"/>
        <v>International</v>
      </c>
      <c r="M1164" s="40"/>
    </row>
    <row r="1165" hidden="1">
      <c r="A1165" s="34"/>
      <c r="B1165" s="53" t="str">
        <f>IFERROR(__xludf.DUMMYFUNCTION("""COMPUTED_VALUE"""),"orthopoxvirus gene 090 (MPOX) [GENEPIO:0101275]                    ")</f>
        <v>orthopoxvirus gene 090 (MPOX) [GENEPIO:0101275]                    </v>
      </c>
      <c r="C1165" s="39" t="str">
        <f>IFERROR(__xludf.DUMMYFUNCTION("""COMPUTED_VALUE"""),"GENEPIO:0101275")</f>
        <v>GENEPIO:0101275</v>
      </c>
      <c r="D1165" s="29"/>
      <c r="H1165" s="55" t="s">
        <v>19</v>
      </c>
      <c r="I1165" s="55" t="s">
        <v>19</v>
      </c>
      <c r="J1165" s="55" t="s">
        <v>19</v>
      </c>
      <c r="K1165" s="55" t="str">
        <f t="shared" si="72"/>
        <v>International</v>
      </c>
      <c r="M1165" s="40"/>
    </row>
    <row r="1166" hidden="1">
      <c r="A1166" s="34"/>
      <c r="B1166" s="53" t="str">
        <f>IFERROR(__xludf.DUMMYFUNCTION("""COMPUTED_VALUE"""),"orthopoxvirus gene 091 (MPOX) [GENEPIO:0101276]                    ")</f>
        <v>orthopoxvirus gene 091 (MPOX) [GENEPIO:0101276]                    </v>
      </c>
      <c r="C1166" s="39" t="str">
        <f>IFERROR(__xludf.DUMMYFUNCTION("""COMPUTED_VALUE"""),"GENEPIO:0101276")</f>
        <v>GENEPIO:0101276</v>
      </c>
      <c r="D1166" s="29"/>
      <c r="H1166" s="55" t="s">
        <v>19</v>
      </c>
      <c r="I1166" s="55" t="s">
        <v>19</v>
      </c>
      <c r="J1166" s="55" t="s">
        <v>19</v>
      </c>
      <c r="K1166" s="55" t="str">
        <f t="shared" si="72"/>
        <v>International</v>
      </c>
      <c r="M1166" s="40"/>
    </row>
    <row r="1167" hidden="1">
      <c r="A1167" s="34"/>
      <c r="B1167" s="53" t="str">
        <f>IFERROR(__xludf.DUMMYFUNCTION("""COMPUTED_VALUE"""),"orthopoxvirus gene 092 (MPOX) [GENEPIO:0101277]                    ")</f>
        <v>orthopoxvirus gene 092 (MPOX) [GENEPIO:0101277]                    </v>
      </c>
      <c r="C1167" s="39" t="str">
        <f>IFERROR(__xludf.DUMMYFUNCTION("""COMPUTED_VALUE"""),"GENEPIO:0101277")</f>
        <v>GENEPIO:0101277</v>
      </c>
      <c r="D1167" s="29"/>
      <c r="H1167" s="55" t="s">
        <v>19</v>
      </c>
      <c r="I1167" s="55" t="s">
        <v>19</v>
      </c>
      <c r="J1167" s="55" t="s">
        <v>19</v>
      </c>
      <c r="K1167" s="55" t="str">
        <f t="shared" si="72"/>
        <v>International</v>
      </c>
      <c r="M1167" s="40"/>
    </row>
    <row r="1168" hidden="1">
      <c r="A1168" s="34"/>
      <c r="B1168" s="53" t="str">
        <f>IFERROR(__xludf.DUMMYFUNCTION("""COMPUTED_VALUE"""),"orthopoxvirus gene 093 (MPOX) [GENEPIO:0101278]                    ")</f>
        <v>orthopoxvirus gene 093 (MPOX) [GENEPIO:0101278]                    </v>
      </c>
      <c r="C1168" s="39" t="str">
        <f>IFERROR(__xludf.DUMMYFUNCTION("""COMPUTED_VALUE"""),"GENEPIO:0101278")</f>
        <v>GENEPIO:0101278</v>
      </c>
      <c r="D1168" s="29"/>
      <c r="H1168" s="55" t="s">
        <v>19</v>
      </c>
      <c r="I1168" s="55" t="s">
        <v>19</v>
      </c>
      <c r="J1168" s="55" t="s">
        <v>19</v>
      </c>
      <c r="K1168" s="55" t="str">
        <f t="shared" si="72"/>
        <v>International</v>
      </c>
      <c r="M1168" s="40"/>
    </row>
    <row r="1169" hidden="1">
      <c r="A1169" s="34"/>
      <c r="B1169" s="53" t="str">
        <f>IFERROR(__xludf.DUMMYFUNCTION("""COMPUTED_VALUE"""),"orthopoxvirus gene 094 (MPOX) [GENEPIO:0101279]                    ")</f>
        <v>orthopoxvirus gene 094 (MPOX) [GENEPIO:0101279]                    </v>
      </c>
      <c r="C1169" s="39" t="str">
        <f>IFERROR(__xludf.DUMMYFUNCTION("""COMPUTED_VALUE"""),"GENEPIO:0101279")</f>
        <v>GENEPIO:0101279</v>
      </c>
      <c r="D1169" s="29"/>
      <c r="H1169" s="55" t="s">
        <v>19</v>
      </c>
      <c r="I1169" s="55" t="s">
        <v>19</v>
      </c>
      <c r="J1169" s="55" t="s">
        <v>19</v>
      </c>
      <c r="K1169" s="55" t="str">
        <f t="shared" si="72"/>
        <v>International</v>
      </c>
      <c r="M1169" s="40"/>
    </row>
    <row r="1170" hidden="1">
      <c r="A1170" s="34"/>
      <c r="B1170" s="53" t="str">
        <f>IFERROR(__xludf.DUMMYFUNCTION("""COMPUTED_VALUE"""),"orthopoxvirus gene 095 (MPOX) [GENEPIO:0101280]                    ")</f>
        <v>orthopoxvirus gene 095 (MPOX) [GENEPIO:0101280]                    </v>
      </c>
      <c r="C1170" s="39" t="str">
        <f>IFERROR(__xludf.DUMMYFUNCTION("""COMPUTED_VALUE"""),"GENEPIO:0101280")</f>
        <v>GENEPIO:0101280</v>
      </c>
      <c r="D1170" s="29"/>
      <c r="H1170" s="55" t="s">
        <v>19</v>
      </c>
      <c r="I1170" s="55" t="s">
        <v>19</v>
      </c>
      <c r="J1170" s="55" t="s">
        <v>19</v>
      </c>
      <c r="K1170" s="55" t="str">
        <f t="shared" si="72"/>
        <v>International</v>
      </c>
      <c r="M1170" s="40"/>
    </row>
    <row r="1171" hidden="1">
      <c r="A1171" s="34"/>
      <c r="B1171" s="53" t="str">
        <f>IFERROR(__xludf.DUMMYFUNCTION("""COMPUTED_VALUE"""),"orthopoxvirus gene 096 (MPOX) [GENEPIO:0101281]                    ")</f>
        <v>orthopoxvirus gene 096 (MPOX) [GENEPIO:0101281]                    </v>
      </c>
      <c r="C1171" s="39" t="str">
        <f>IFERROR(__xludf.DUMMYFUNCTION("""COMPUTED_VALUE"""),"GENEPIO:0101281")</f>
        <v>GENEPIO:0101281</v>
      </c>
      <c r="D1171" s="29"/>
      <c r="H1171" s="55" t="s">
        <v>19</v>
      </c>
      <c r="I1171" s="55" t="s">
        <v>19</v>
      </c>
      <c r="J1171" s="55" t="s">
        <v>19</v>
      </c>
      <c r="K1171" s="55" t="str">
        <f t="shared" si="72"/>
        <v>International</v>
      </c>
      <c r="M1171" s="40"/>
    </row>
    <row r="1172" hidden="1">
      <c r="A1172" s="34"/>
      <c r="B1172" s="53" t="str">
        <f>IFERROR(__xludf.DUMMYFUNCTION("""COMPUTED_VALUE"""),"orthopoxvirus gene 097 (MPOX) [GENEPIO:0101282]                    ")</f>
        <v>orthopoxvirus gene 097 (MPOX) [GENEPIO:0101282]                    </v>
      </c>
      <c r="C1172" s="39" t="str">
        <f>IFERROR(__xludf.DUMMYFUNCTION("""COMPUTED_VALUE"""),"GENEPIO:0101282")</f>
        <v>GENEPIO:0101282</v>
      </c>
      <c r="D1172" s="29"/>
      <c r="H1172" s="55" t="s">
        <v>19</v>
      </c>
      <c r="I1172" s="55" t="s">
        <v>19</v>
      </c>
      <c r="J1172" s="55" t="s">
        <v>19</v>
      </c>
      <c r="K1172" s="55" t="str">
        <f t="shared" si="72"/>
        <v>International</v>
      </c>
      <c r="M1172" s="40"/>
    </row>
    <row r="1173" hidden="1">
      <c r="A1173" s="34"/>
      <c r="B1173" s="53" t="str">
        <f>IFERROR(__xludf.DUMMYFUNCTION("""COMPUTED_VALUE"""),"orthopoxvirus gene 098 (MPOX) [GENEPIO:0101283]                    ")</f>
        <v>orthopoxvirus gene 098 (MPOX) [GENEPIO:0101283]                    </v>
      </c>
      <c r="C1173" s="39" t="str">
        <f>IFERROR(__xludf.DUMMYFUNCTION("""COMPUTED_VALUE"""),"GENEPIO:0101283")</f>
        <v>GENEPIO:0101283</v>
      </c>
      <c r="D1173" s="29"/>
      <c r="H1173" s="55" t="s">
        <v>19</v>
      </c>
      <c r="I1173" s="55" t="s">
        <v>19</v>
      </c>
      <c r="J1173" s="55" t="s">
        <v>19</v>
      </c>
      <c r="K1173" s="55" t="str">
        <f t="shared" si="72"/>
        <v>International</v>
      </c>
      <c r="M1173" s="40"/>
    </row>
    <row r="1174" hidden="1">
      <c r="A1174" s="34"/>
      <c r="B1174" s="53" t="str">
        <f>IFERROR(__xludf.DUMMYFUNCTION("""COMPUTED_VALUE"""),"orthopoxvirus gene 099 (MPOX) [GENEPIO:0101284]                    ")</f>
        <v>orthopoxvirus gene 099 (MPOX) [GENEPIO:0101284]                    </v>
      </c>
      <c r="C1174" s="39" t="str">
        <f>IFERROR(__xludf.DUMMYFUNCTION("""COMPUTED_VALUE"""),"GENEPIO:0101284")</f>
        <v>GENEPIO:0101284</v>
      </c>
      <c r="D1174" s="29"/>
      <c r="H1174" s="55" t="s">
        <v>19</v>
      </c>
      <c r="I1174" s="55" t="s">
        <v>19</v>
      </c>
      <c r="J1174" s="55" t="s">
        <v>19</v>
      </c>
      <c r="K1174" s="55" t="str">
        <f t="shared" si="72"/>
        <v>International</v>
      </c>
      <c r="M1174" s="40"/>
    </row>
    <row r="1175" hidden="1">
      <c r="A1175" s="34"/>
      <c r="B1175" s="53" t="str">
        <f>IFERROR(__xludf.DUMMYFUNCTION("""COMPUTED_VALUE"""),"orthopoxvirus gene 100 (MPOX) [GENEPIO:0101285]                    ")</f>
        <v>orthopoxvirus gene 100 (MPOX) [GENEPIO:0101285]                    </v>
      </c>
      <c r="C1175" s="39" t="str">
        <f>IFERROR(__xludf.DUMMYFUNCTION("""COMPUTED_VALUE"""),"GENEPIO:0101285")</f>
        <v>GENEPIO:0101285</v>
      </c>
      <c r="D1175" s="29"/>
      <c r="H1175" s="55" t="s">
        <v>19</v>
      </c>
      <c r="I1175" s="55" t="s">
        <v>19</v>
      </c>
      <c r="J1175" s="55" t="s">
        <v>19</v>
      </c>
      <c r="K1175" s="55" t="str">
        <f t="shared" si="72"/>
        <v>International</v>
      </c>
      <c r="M1175" s="40"/>
    </row>
    <row r="1176" hidden="1">
      <c r="A1176" s="34"/>
      <c r="B1176" s="53" t="str">
        <f>IFERROR(__xludf.DUMMYFUNCTION("""COMPUTED_VALUE"""),"orthopoxvirus gene 101 (MPOX) [GENEPIO:0101286]                    ")</f>
        <v>orthopoxvirus gene 101 (MPOX) [GENEPIO:0101286]                    </v>
      </c>
      <c r="C1176" s="39" t="str">
        <f>IFERROR(__xludf.DUMMYFUNCTION("""COMPUTED_VALUE"""),"GENEPIO:0101286")</f>
        <v>GENEPIO:0101286</v>
      </c>
      <c r="D1176" s="29"/>
      <c r="H1176" s="55" t="s">
        <v>19</v>
      </c>
      <c r="I1176" s="55" t="s">
        <v>19</v>
      </c>
      <c r="J1176" s="55" t="s">
        <v>19</v>
      </c>
      <c r="K1176" s="55" t="str">
        <f t="shared" si="72"/>
        <v>International</v>
      </c>
      <c r="M1176" s="40"/>
    </row>
    <row r="1177" hidden="1">
      <c r="A1177" s="34"/>
      <c r="B1177" s="53" t="str">
        <f>IFERROR(__xludf.DUMMYFUNCTION("""COMPUTED_VALUE"""),"orthopoxvirus gene 102 (MPOX) [GENEPIO:0101287]                    ")</f>
        <v>orthopoxvirus gene 102 (MPOX) [GENEPIO:0101287]                    </v>
      </c>
      <c r="C1177" s="39" t="str">
        <f>IFERROR(__xludf.DUMMYFUNCTION("""COMPUTED_VALUE"""),"GENEPIO:0101287")</f>
        <v>GENEPIO:0101287</v>
      </c>
      <c r="D1177" s="29"/>
      <c r="H1177" s="55" t="s">
        <v>19</v>
      </c>
      <c r="I1177" s="55" t="s">
        <v>19</v>
      </c>
      <c r="J1177" s="55" t="s">
        <v>19</v>
      </c>
      <c r="K1177" s="55" t="str">
        <f t="shared" si="72"/>
        <v>International</v>
      </c>
      <c r="M1177" s="40"/>
    </row>
    <row r="1178" hidden="1">
      <c r="A1178" s="34"/>
      <c r="B1178" s="53" t="str">
        <f>IFERROR(__xludf.DUMMYFUNCTION("""COMPUTED_VALUE"""),"orthopoxvirus gene 103 (MPOX) [GENEPIO:0101288]                    ")</f>
        <v>orthopoxvirus gene 103 (MPOX) [GENEPIO:0101288]                    </v>
      </c>
      <c r="C1178" s="39" t="str">
        <f>IFERROR(__xludf.DUMMYFUNCTION("""COMPUTED_VALUE"""),"GENEPIO:0101288")</f>
        <v>GENEPIO:0101288</v>
      </c>
      <c r="D1178" s="29"/>
      <c r="H1178" s="55" t="s">
        <v>19</v>
      </c>
      <c r="I1178" s="55" t="s">
        <v>19</v>
      </c>
      <c r="J1178" s="55" t="s">
        <v>19</v>
      </c>
      <c r="K1178" s="55" t="str">
        <f t="shared" si="72"/>
        <v>International</v>
      </c>
      <c r="M1178" s="40"/>
    </row>
    <row r="1179" hidden="1">
      <c r="A1179" s="34"/>
      <c r="B1179" s="53" t="str">
        <f>IFERROR(__xludf.DUMMYFUNCTION("""COMPUTED_VALUE"""),"orthopoxvirus gene 104 (MPOX) [GENEPIO:0101289]                    ")</f>
        <v>orthopoxvirus gene 104 (MPOX) [GENEPIO:0101289]                    </v>
      </c>
      <c r="C1179" s="39" t="str">
        <f>IFERROR(__xludf.DUMMYFUNCTION("""COMPUTED_VALUE"""),"GENEPIO:0101289")</f>
        <v>GENEPIO:0101289</v>
      </c>
      <c r="D1179" s="29"/>
      <c r="H1179" s="55" t="s">
        <v>19</v>
      </c>
      <c r="I1179" s="55" t="s">
        <v>19</v>
      </c>
      <c r="J1179" s="55" t="s">
        <v>19</v>
      </c>
      <c r="K1179" s="55" t="str">
        <f t="shared" si="72"/>
        <v>International</v>
      </c>
      <c r="M1179" s="40"/>
    </row>
    <row r="1180" hidden="1">
      <c r="A1180" s="34"/>
      <c r="B1180" s="53" t="str">
        <f>IFERROR(__xludf.DUMMYFUNCTION("""COMPUTED_VALUE"""),"orthopoxvirus gene 105 (MPOX) [GENEPIO:0101290]                    ")</f>
        <v>orthopoxvirus gene 105 (MPOX) [GENEPIO:0101290]                    </v>
      </c>
      <c r="C1180" s="39" t="str">
        <f>IFERROR(__xludf.DUMMYFUNCTION("""COMPUTED_VALUE"""),"GENEPIO:0101290")</f>
        <v>GENEPIO:0101290</v>
      </c>
      <c r="D1180" s="29"/>
      <c r="H1180" s="55" t="s">
        <v>19</v>
      </c>
      <c r="I1180" s="55" t="s">
        <v>19</v>
      </c>
      <c r="J1180" s="55" t="s">
        <v>19</v>
      </c>
      <c r="K1180" s="55" t="str">
        <f t="shared" si="72"/>
        <v>International</v>
      </c>
      <c r="M1180" s="40"/>
    </row>
    <row r="1181" hidden="1">
      <c r="A1181" s="34"/>
      <c r="B1181" s="53" t="str">
        <f>IFERROR(__xludf.DUMMYFUNCTION("""COMPUTED_VALUE"""),"orthopoxvirus gene 106 (MPOX) [GENEPIO:0101291]                    ")</f>
        <v>orthopoxvirus gene 106 (MPOX) [GENEPIO:0101291]                    </v>
      </c>
      <c r="C1181" s="39" t="str">
        <f>IFERROR(__xludf.DUMMYFUNCTION("""COMPUTED_VALUE"""),"GENEPIO:0101291")</f>
        <v>GENEPIO:0101291</v>
      </c>
      <c r="D1181" s="29"/>
      <c r="H1181" s="55" t="s">
        <v>19</v>
      </c>
      <c r="I1181" s="55" t="s">
        <v>19</v>
      </c>
      <c r="J1181" s="55" t="s">
        <v>19</v>
      </c>
      <c r="K1181" s="55" t="str">
        <f t="shared" si="72"/>
        <v>International</v>
      </c>
      <c r="M1181" s="40"/>
    </row>
    <row r="1182" hidden="1">
      <c r="A1182" s="34"/>
      <c r="B1182" s="53" t="str">
        <f>IFERROR(__xludf.DUMMYFUNCTION("""COMPUTED_VALUE"""),"orthopoxvirus gene 107 (MPOX) [GENEPIO:0101292]                    ")</f>
        <v>orthopoxvirus gene 107 (MPOX) [GENEPIO:0101292]                    </v>
      </c>
      <c r="C1182" s="39" t="str">
        <f>IFERROR(__xludf.DUMMYFUNCTION("""COMPUTED_VALUE"""),"GENEPIO:0101292")</f>
        <v>GENEPIO:0101292</v>
      </c>
      <c r="D1182" s="29"/>
      <c r="H1182" s="55" t="s">
        <v>19</v>
      </c>
      <c r="I1182" s="55" t="s">
        <v>19</v>
      </c>
      <c r="J1182" s="55" t="s">
        <v>19</v>
      </c>
      <c r="K1182" s="55" t="str">
        <f t="shared" si="72"/>
        <v>International</v>
      </c>
      <c r="M1182" s="40"/>
    </row>
    <row r="1183" hidden="1">
      <c r="A1183" s="34"/>
      <c r="B1183" s="53" t="str">
        <f>IFERROR(__xludf.DUMMYFUNCTION("""COMPUTED_VALUE"""),"orthopoxvirus gene 108 (MPOX) [GENEPIO:0101293]                    ")</f>
        <v>orthopoxvirus gene 108 (MPOX) [GENEPIO:0101293]                    </v>
      </c>
      <c r="C1183" s="39" t="str">
        <f>IFERROR(__xludf.DUMMYFUNCTION("""COMPUTED_VALUE"""),"GENEPIO:0101293")</f>
        <v>GENEPIO:0101293</v>
      </c>
      <c r="D1183" s="29"/>
      <c r="H1183" s="55" t="s">
        <v>19</v>
      </c>
      <c r="I1183" s="55" t="s">
        <v>19</v>
      </c>
      <c r="J1183" s="55" t="s">
        <v>19</v>
      </c>
      <c r="K1183" s="55" t="str">
        <f t="shared" si="72"/>
        <v>International</v>
      </c>
      <c r="M1183" s="40"/>
    </row>
    <row r="1184" hidden="1">
      <c r="A1184" s="34"/>
      <c r="B1184" s="53" t="str">
        <f>IFERROR(__xludf.DUMMYFUNCTION("""COMPUTED_VALUE"""),"orthopoxvirus gene 109 (MPOX) [GENEPIO:0101294]                    ")</f>
        <v>orthopoxvirus gene 109 (MPOX) [GENEPIO:0101294]                    </v>
      </c>
      <c r="C1184" s="39" t="str">
        <f>IFERROR(__xludf.DUMMYFUNCTION("""COMPUTED_VALUE"""),"GENEPIO:0101294")</f>
        <v>GENEPIO:0101294</v>
      </c>
      <c r="D1184" s="29"/>
      <c r="H1184" s="55" t="s">
        <v>19</v>
      </c>
      <c r="I1184" s="55" t="s">
        <v>19</v>
      </c>
      <c r="J1184" s="55" t="s">
        <v>19</v>
      </c>
      <c r="K1184" s="55" t="str">
        <f t="shared" si="72"/>
        <v>International</v>
      </c>
      <c r="M1184" s="40"/>
    </row>
    <row r="1185" hidden="1">
      <c r="A1185" s="34"/>
      <c r="B1185" s="53" t="str">
        <f>IFERROR(__xludf.DUMMYFUNCTION("""COMPUTED_VALUE"""),"orthopoxvirus gene 110 (MPOX) [GENEPIO:0101295]                    ")</f>
        <v>orthopoxvirus gene 110 (MPOX) [GENEPIO:0101295]                    </v>
      </c>
      <c r="C1185" s="39" t="str">
        <f>IFERROR(__xludf.DUMMYFUNCTION("""COMPUTED_VALUE"""),"GENEPIO:0101295")</f>
        <v>GENEPIO:0101295</v>
      </c>
      <c r="D1185" s="29"/>
      <c r="H1185" s="55" t="s">
        <v>19</v>
      </c>
      <c r="I1185" s="55" t="s">
        <v>19</v>
      </c>
      <c r="J1185" s="55" t="s">
        <v>19</v>
      </c>
      <c r="K1185" s="55" t="str">
        <f t="shared" si="72"/>
        <v>International</v>
      </c>
      <c r="M1185" s="40"/>
    </row>
    <row r="1186" hidden="1">
      <c r="A1186" s="34"/>
      <c r="B1186" s="53" t="str">
        <f>IFERROR(__xludf.DUMMYFUNCTION("""COMPUTED_VALUE"""),"orthopoxvirus gene 111 (MPOX) [GENEPIO:0101296]                    ")</f>
        <v>orthopoxvirus gene 111 (MPOX) [GENEPIO:0101296]                    </v>
      </c>
      <c r="C1186" s="39" t="str">
        <f>IFERROR(__xludf.DUMMYFUNCTION("""COMPUTED_VALUE"""),"GENEPIO:0101296")</f>
        <v>GENEPIO:0101296</v>
      </c>
      <c r="D1186" s="29"/>
      <c r="H1186" s="55" t="s">
        <v>19</v>
      </c>
      <c r="I1186" s="55" t="s">
        <v>19</v>
      </c>
      <c r="J1186" s="55" t="s">
        <v>19</v>
      </c>
      <c r="K1186" s="55" t="str">
        <f t="shared" si="72"/>
        <v>International</v>
      </c>
      <c r="M1186" s="40"/>
    </row>
    <row r="1187" hidden="1">
      <c r="A1187" s="34"/>
      <c r="B1187" s="53" t="str">
        <f>IFERROR(__xludf.DUMMYFUNCTION("""COMPUTED_VALUE"""),"orthopoxvirus gene 112 (MPOX) [GENEPIO:0101297]                    ")</f>
        <v>orthopoxvirus gene 112 (MPOX) [GENEPIO:0101297]                    </v>
      </c>
      <c r="C1187" s="39" t="str">
        <f>IFERROR(__xludf.DUMMYFUNCTION("""COMPUTED_VALUE"""),"GENEPIO:0101297")</f>
        <v>GENEPIO:0101297</v>
      </c>
      <c r="D1187" s="29"/>
      <c r="H1187" s="55" t="s">
        <v>19</v>
      </c>
      <c r="I1187" s="55" t="s">
        <v>19</v>
      </c>
      <c r="J1187" s="55" t="s">
        <v>19</v>
      </c>
      <c r="K1187" s="55" t="str">
        <f t="shared" si="72"/>
        <v>International</v>
      </c>
      <c r="M1187" s="40"/>
    </row>
    <row r="1188" hidden="1">
      <c r="A1188" s="34"/>
      <c r="B1188" s="53" t="str">
        <f>IFERROR(__xludf.DUMMYFUNCTION("""COMPUTED_VALUE"""),"orthopoxvirus gene 113 (MPOX) [GENEPIO:0101298]                    ")</f>
        <v>orthopoxvirus gene 113 (MPOX) [GENEPIO:0101298]                    </v>
      </c>
      <c r="C1188" s="39" t="str">
        <f>IFERROR(__xludf.DUMMYFUNCTION("""COMPUTED_VALUE"""),"GENEPIO:0101298")</f>
        <v>GENEPIO:0101298</v>
      </c>
      <c r="D1188" s="29"/>
      <c r="H1188" s="55" t="s">
        <v>19</v>
      </c>
      <c r="I1188" s="55" t="s">
        <v>19</v>
      </c>
      <c r="J1188" s="55" t="s">
        <v>19</v>
      </c>
      <c r="K1188" s="55" t="str">
        <f t="shared" si="72"/>
        <v>International</v>
      </c>
      <c r="M1188" s="40"/>
    </row>
    <row r="1189" hidden="1">
      <c r="A1189" s="34"/>
      <c r="B1189" s="53" t="str">
        <f>IFERROR(__xludf.DUMMYFUNCTION("""COMPUTED_VALUE"""),"orthopoxvirus gene 114 (MPOX) [GENEPIO:0101299]                    ")</f>
        <v>orthopoxvirus gene 114 (MPOX) [GENEPIO:0101299]                    </v>
      </c>
      <c r="C1189" s="39" t="str">
        <f>IFERROR(__xludf.DUMMYFUNCTION("""COMPUTED_VALUE"""),"GENEPIO:0101299")</f>
        <v>GENEPIO:0101299</v>
      </c>
      <c r="D1189" s="29"/>
      <c r="H1189" s="55" t="s">
        <v>19</v>
      </c>
      <c r="I1189" s="55" t="s">
        <v>19</v>
      </c>
      <c r="J1189" s="55" t="s">
        <v>19</v>
      </c>
      <c r="K1189" s="55" t="str">
        <f t="shared" si="72"/>
        <v>International</v>
      </c>
      <c r="M1189" s="40"/>
    </row>
    <row r="1190" hidden="1">
      <c r="A1190" s="34"/>
      <c r="B1190" s="53" t="str">
        <f>IFERROR(__xludf.DUMMYFUNCTION("""COMPUTED_VALUE"""),"orthopoxvirus gene 115 (MPOX) [GENEPIO:0101300]                    ")</f>
        <v>orthopoxvirus gene 115 (MPOX) [GENEPIO:0101300]                    </v>
      </c>
      <c r="C1190" s="39" t="str">
        <f>IFERROR(__xludf.DUMMYFUNCTION("""COMPUTED_VALUE"""),"GENEPIO:0101300")</f>
        <v>GENEPIO:0101300</v>
      </c>
      <c r="D1190" s="29"/>
      <c r="H1190" s="55" t="s">
        <v>19</v>
      </c>
      <c r="I1190" s="55" t="s">
        <v>19</v>
      </c>
      <c r="J1190" s="55" t="s">
        <v>19</v>
      </c>
      <c r="K1190" s="55" t="str">
        <f t="shared" si="72"/>
        <v>International</v>
      </c>
      <c r="M1190" s="40"/>
    </row>
    <row r="1191" hidden="1">
      <c r="A1191" s="34"/>
      <c r="B1191" s="53" t="str">
        <f>IFERROR(__xludf.DUMMYFUNCTION("""COMPUTED_VALUE"""),"orthopoxvirus gene 116 (MPOX) [GENEPIO:0101301]                    ")</f>
        <v>orthopoxvirus gene 116 (MPOX) [GENEPIO:0101301]                    </v>
      </c>
      <c r="C1191" s="39" t="str">
        <f>IFERROR(__xludf.DUMMYFUNCTION("""COMPUTED_VALUE"""),"GENEPIO:0101301")</f>
        <v>GENEPIO:0101301</v>
      </c>
      <c r="D1191" s="29"/>
      <c r="H1191" s="55" t="s">
        <v>19</v>
      </c>
      <c r="I1191" s="55" t="s">
        <v>19</v>
      </c>
      <c r="J1191" s="55" t="s">
        <v>19</v>
      </c>
      <c r="K1191" s="55" t="str">
        <f t="shared" si="72"/>
        <v>International</v>
      </c>
      <c r="M1191" s="40"/>
    </row>
    <row r="1192" hidden="1">
      <c r="A1192" s="34"/>
      <c r="B1192" s="53" t="str">
        <f>IFERROR(__xludf.DUMMYFUNCTION("""COMPUTED_VALUE"""),"orthopoxvirus gene 117 (MPOX) [GENEPIO:0101302]                    ")</f>
        <v>orthopoxvirus gene 117 (MPOX) [GENEPIO:0101302]                    </v>
      </c>
      <c r="C1192" s="39" t="str">
        <f>IFERROR(__xludf.DUMMYFUNCTION("""COMPUTED_VALUE"""),"GENEPIO:0101302")</f>
        <v>GENEPIO:0101302</v>
      </c>
      <c r="D1192" s="29"/>
      <c r="H1192" s="55" t="s">
        <v>19</v>
      </c>
      <c r="I1192" s="55" t="s">
        <v>19</v>
      </c>
      <c r="J1192" s="55" t="s">
        <v>19</v>
      </c>
      <c r="K1192" s="55" t="str">
        <f t="shared" si="72"/>
        <v>International</v>
      </c>
      <c r="M1192" s="40"/>
    </row>
    <row r="1193" hidden="1">
      <c r="A1193" s="34"/>
      <c r="B1193" s="53" t="str">
        <f>IFERROR(__xludf.DUMMYFUNCTION("""COMPUTED_VALUE"""),"orthopoxvirus gene 118 (MPOX) [GENEPIO:0101303]                    ")</f>
        <v>orthopoxvirus gene 118 (MPOX) [GENEPIO:0101303]                    </v>
      </c>
      <c r="C1193" s="39" t="str">
        <f>IFERROR(__xludf.DUMMYFUNCTION("""COMPUTED_VALUE"""),"GENEPIO:0101303")</f>
        <v>GENEPIO:0101303</v>
      </c>
      <c r="D1193" s="29"/>
      <c r="H1193" s="55" t="s">
        <v>19</v>
      </c>
      <c r="I1193" s="55" t="s">
        <v>19</v>
      </c>
      <c r="J1193" s="55" t="s">
        <v>19</v>
      </c>
      <c r="K1193" s="55" t="str">
        <f t="shared" si="72"/>
        <v>International</v>
      </c>
      <c r="M1193" s="40"/>
    </row>
    <row r="1194" hidden="1">
      <c r="A1194" s="34"/>
      <c r="B1194" s="53" t="str">
        <f>IFERROR(__xludf.DUMMYFUNCTION("""COMPUTED_VALUE"""),"orthopoxvirus gene 119 (MPOX) [GENEPIO:0101304]                    ")</f>
        <v>orthopoxvirus gene 119 (MPOX) [GENEPIO:0101304]                    </v>
      </c>
      <c r="C1194" s="39" t="str">
        <f>IFERROR(__xludf.DUMMYFUNCTION("""COMPUTED_VALUE"""),"GENEPIO:0101304")</f>
        <v>GENEPIO:0101304</v>
      </c>
      <c r="D1194" s="29"/>
      <c r="H1194" s="55" t="s">
        <v>19</v>
      </c>
      <c r="I1194" s="55" t="s">
        <v>19</v>
      </c>
      <c r="J1194" s="55" t="s">
        <v>19</v>
      </c>
      <c r="K1194" s="55" t="str">
        <f t="shared" si="72"/>
        <v>International</v>
      </c>
      <c r="M1194" s="40"/>
    </row>
    <row r="1195" hidden="1">
      <c r="A1195" s="34"/>
      <c r="B1195" s="53" t="str">
        <f>IFERROR(__xludf.DUMMYFUNCTION("""COMPUTED_VALUE"""),"orthopoxvirus gene 120 (MPOX) [GENEPIO:0101305]                    ")</f>
        <v>orthopoxvirus gene 120 (MPOX) [GENEPIO:0101305]                    </v>
      </c>
      <c r="C1195" s="39" t="str">
        <f>IFERROR(__xludf.DUMMYFUNCTION("""COMPUTED_VALUE"""),"GENEPIO:0101305")</f>
        <v>GENEPIO:0101305</v>
      </c>
      <c r="D1195" s="29"/>
      <c r="H1195" s="55" t="s">
        <v>19</v>
      </c>
      <c r="I1195" s="55" t="s">
        <v>19</v>
      </c>
      <c r="J1195" s="55" t="s">
        <v>19</v>
      </c>
      <c r="K1195" s="55" t="str">
        <f t="shared" si="72"/>
        <v>International</v>
      </c>
      <c r="M1195" s="40"/>
    </row>
    <row r="1196" hidden="1">
      <c r="A1196" s="34"/>
      <c r="B1196" s="53" t="str">
        <f>IFERROR(__xludf.DUMMYFUNCTION("""COMPUTED_VALUE"""),"orthopoxvirus gene 121 (MPOX) [GENEPIO:0101306]                    ")</f>
        <v>orthopoxvirus gene 121 (MPOX) [GENEPIO:0101306]                    </v>
      </c>
      <c r="C1196" s="39" t="str">
        <f>IFERROR(__xludf.DUMMYFUNCTION("""COMPUTED_VALUE"""),"GENEPIO:0101306")</f>
        <v>GENEPIO:0101306</v>
      </c>
      <c r="D1196" s="29"/>
      <c r="H1196" s="55" t="s">
        <v>19</v>
      </c>
      <c r="I1196" s="55" t="s">
        <v>19</v>
      </c>
      <c r="J1196" s="55" t="s">
        <v>19</v>
      </c>
      <c r="K1196" s="55" t="str">
        <f t="shared" si="72"/>
        <v>International</v>
      </c>
      <c r="M1196" s="40"/>
    </row>
    <row r="1197" hidden="1">
      <c r="A1197" s="34"/>
      <c r="B1197" s="53" t="str">
        <f>IFERROR(__xludf.DUMMYFUNCTION("""COMPUTED_VALUE"""),"orthopoxvirus gene 122 (MPOX) [GENEPIO:0101307]                    ")</f>
        <v>orthopoxvirus gene 122 (MPOX) [GENEPIO:0101307]                    </v>
      </c>
      <c r="C1197" s="39" t="str">
        <f>IFERROR(__xludf.DUMMYFUNCTION("""COMPUTED_VALUE"""),"GENEPIO:0101307")</f>
        <v>GENEPIO:0101307</v>
      </c>
      <c r="D1197" s="29"/>
      <c r="H1197" s="55" t="s">
        <v>19</v>
      </c>
      <c r="I1197" s="55" t="s">
        <v>19</v>
      </c>
      <c r="J1197" s="55" t="s">
        <v>19</v>
      </c>
      <c r="K1197" s="55" t="str">
        <f t="shared" si="72"/>
        <v>International</v>
      </c>
      <c r="M1197" s="40"/>
    </row>
    <row r="1198" hidden="1">
      <c r="A1198" s="34"/>
      <c r="B1198" s="53" t="str">
        <f>IFERROR(__xludf.DUMMYFUNCTION("""COMPUTED_VALUE"""),"orthopoxvirus gene 123 (MPOX) [GENEPIO:0101308]                    ")</f>
        <v>orthopoxvirus gene 123 (MPOX) [GENEPIO:0101308]                    </v>
      </c>
      <c r="C1198" s="39" t="str">
        <f>IFERROR(__xludf.DUMMYFUNCTION("""COMPUTED_VALUE"""),"GENEPIO:0101308")</f>
        <v>GENEPIO:0101308</v>
      </c>
      <c r="D1198" s="29"/>
      <c r="H1198" s="55" t="s">
        <v>19</v>
      </c>
      <c r="I1198" s="55" t="s">
        <v>19</v>
      </c>
      <c r="J1198" s="55" t="s">
        <v>19</v>
      </c>
      <c r="K1198" s="55" t="str">
        <f t="shared" si="72"/>
        <v>International</v>
      </c>
      <c r="M1198" s="40"/>
    </row>
    <row r="1199" hidden="1">
      <c r="A1199" s="34"/>
      <c r="B1199" s="53" t="str">
        <f>IFERROR(__xludf.DUMMYFUNCTION("""COMPUTED_VALUE"""),"orthopoxvirus gene 124 (MPOX) [GENEPIO:0101309]                    ")</f>
        <v>orthopoxvirus gene 124 (MPOX) [GENEPIO:0101309]                    </v>
      </c>
      <c r="C1199" s="39" t="str">
        <f>IFERROR(__xludf.DUMMYFUNCTION("""COMPUTED_VALUE"""),"GENEPIO:0101309")</f>
        <v>GENEPIO:0101309</v>
      </c>
      <c r="D1199" s="29"/>
      <c r="H1199" s="55" t="s">
        <v>19</v>
      </c>
      <c r="I1199" s="55" t="s">
        <v>19</v>
      </c>
      <c r="J1199" s="55" t="s">
        <v>19</v>
      </c>
      <c r="K1199" s="55" t="str">
        <f t="shared" si="72"/>
        <v>International</v>
      </c>
      <c r="M1199" s="40"/>
    </row>
    <row r="1200" hidden="1">
      <c r="A1200" s="34"/>
      <c r="B1200" s="53" t="str">
        <f>IFERROR(__xludf.DUMMYFUNCTION("""COMPUTED_VALUE"""),"orthopoxvirus gene 125 (MPOX) [GENEPIO:0101310]                    ")</f>
        <v>orthopoxvirus gene 125 (MPOX) [GENEPIO:0101310]                    </v>
      </c>
      <c r="C1200" s="39" t="str">
        <f>IFERROR(__xludf.DUMMYFUNCTION("""COMPUTED_VALUE"""),"GENEPIO:0101310")</f>
        <v>GENEPIO:0101310</v>
      </c>
      <c r="D1200" s="29"/>
      <c r="H1200" s="55" t="s">
        <v>19</v>
      </c>
      <c r="I1200" s="55" t="s">
        <v>19</v>
      </c>
      <c r="J1200" s="55" t="s">
        <v>19</v>
      </c>
      <c r="K1200" s="55" t="str">
        <f t="shared" si="72"/>
        <v>International</v>
      </c>
      <c r="M1200" s="40"/>
    </row>
    <row r="1201" hidden="1">
      <c r="A1201" s="34"/>
      <c r="B1201" s="53" t="str">
        <f>IFERROR(__xludf.DUMMYFUNCTION("""COMPUTED_VALUE"""),"orthopoxvirus gene 126 (MPOX) [GENEPIO:0101311]                    ")</f>
        <v>orthopoxvirus gene 126 (MPOX) [GENEPIO:0101311]                    </v>
      </c>
      <c r="C1201" s="39" t="str">
        <f>IFERROR(__xludf.DUMMYFUNCTION("""COMPUTED_VALUE"""),"GENEPIO:0101311")</f>
        <v>GENEPIO:0101311</v>
      </c>
      <c r="D1201" s="29"/>
      <c r="H1201" s="55" t="s">
        <v>19</v>
      </c>
      <c r="I1201" s="55" t="s">
        <v>19</v>
      </c>
      <c r="J1201" s="55" t="s">
        <v>19</v>
      </c>
      <c r="K1201" s="55" t="str">
        <f t="shared" si="72"/>
        <v>International</v>
      </c>
      <c r="M1201" s="40"/>
    </row>
    <row r="1202" hidden="1">
      <c r="A1202" s="34"/>
      <c r="B1202" s="53" t="str">
        <f>IFERROR(__xludf.DUMMYFUNCTION("""COMPUTED_VALUE"""),"orthopoxvirus gene 127 (MPOX) [GENEPIO:0101312]                    ")</f>
        <v>orthopoxvirus gene 127 (MPOX) [GENEPIO:0101312]                    </v>
      </c>
      <c r="C1202" s="39" t="str">
        <f>IFERROR(__xludf.DUMMYFUNCTION("""COMPUTED_VALUE"""),"GENEPIO:0101312")</f>
        <v>GENEPIO:0101312</v>
      </c>
      <c r="D1202" s="29"/>
      <c r="H1202" s="55" t="s">
        <v>19</v>
      </c>
      <c r="I1202" s="55" t="s">
        <v>19</v>
      </c>
      <c r="J1202" s="55" t="s">
        <v>19</v>
      </c>
      <c r="K1202" s="55" t="str">
        <f t="shared" si="72"/>
        <v>International</v>
      </c>
      <c r="M1202" s="40"/>
    </row>
    <row r="1203" hidden="1">
      <c r="A1203" s="34"/>
      <c r="B1203" s="53" t="str">
        <f>IFERROR(__xludf.DUMMYFUNCTION("""COMPUTED_VALUE"""),"orthopoxvirus gene 128 (MPOX) [GENEPIO:0101313]                    ")</f>
        <v>orthopoxvirus gene 128 (MPOX) [GENEPIO:0101313]                    </v>
      </c>
      <c r="C1203" s="39" t="str">
        <f>IFERROR(__xludf.DUMMYFUNCTION("""COMPUTED_VALUE"""),"GENEPIO:0101313")</f>
        <v>GENEPIO:0101313</v>
      </c>
      <c r="D1203" s="29"/>
      <c r="H1203" s="55" t="s">
        <v>19</v>
      </c>
      <c r="I1203" s="55" t="s">
        <v>19</v>
      </c>
      <c r="J1203" s="55" t="s">
        <v>19</v>
      </c>
      <c r="K1203" s="55" t="str">
        <f t="shared" si="72"/>
        <v>International</v>
      </c>
      <c r="M1203" s="40"/>
    </row>
    <row r="1204" hidden="1">
      <c r="A1204" s="34"/>
      <c r="B1204" s="53" t="str">
        <f>IFERROR(__xludf.DUMMYFUNCTION("""COMPUTED_VALUE"""),"orthopoxvirus gene 129 (MPOX) [GENEPIO:0101314]                    ")</f>
        <v>orthopoxvirus gene 129 (MPOX) [GENEPIO:0101314]                    </v>
      </c>
      <c r="C1204" s="39" t="str">
        <f>IFERROR(__xludf.DUMMYFUNCTION("""COMPUTED_VALUE"""),"GENEPIO:0101314")</f>
        <v>GENEPIO:0101314</v>
      </c>
      <c r="D1204" s="29"/>
      <c r="H1204" s="55" t="s">
        <v>19</v>
      </c>
      <c r="I1204" s="55" t="s">
        <v>19</v>
      </c>
      <c r="J1204" s="55" t="s">
        <v>19</v>
      </c>
      <c r="K1204" s="55" t="str">
        <f t="shared" si="72"/>
        <v>International</v>
      </c>
      <c r="M1204" s="40"/>
    </row>
    <row r="1205" hidden="1">
      <c r="A1205" s="34"/>
      <c r="B1205" s="53" t="str">
        <f>IFERROR(__xludf.DUMMYFUNCTION("""COMPUTED_VALUE"""),"orthopoxvirus gene 130 (MPOX) [GENEPIO:0101315]                    ")</f>
        <v>orthopoxvirus gene 130 (MPOX) [GENEPIO:0101315]                    </v>
      </c>
      <c r="C1205" s="39" t="str">
        <f>IFERROR(__xludf.DUMMYFUNCTION("""COMPUTED_VALUE"""),"GENEPIO:0101315")</f>
        <v>GENEPIO:0101315</v>
      </c>
      <c r="D1205" s="29"/>
      <c r="H1205" s="55" t="s">
        <v>19</v>
      </c>
      <c r="I1205" s="55" t="s">
        <v>19</v>
      </c>
      <c r="J1205" s="55" t="s">
        <v>19</v>
      </c>
      <c r="K1205" s="55" t="str">
        <f t="shared" si="72"/>
        <v>International</v>
      </c>
      <c r="M1205" s="40"/>
    </row>
    <row r="1206" hidden="1">
      <c r="A1206" s="34"/>
      <c r="B1206" s="53" t="str">
        <f>IFERROR(__xludf.DUMMYFUNCTION("""COMPUTED_VALUE"""),"orthopoxvirus gene 131 (MPOX) [GENEPIO:0101316]                    ")</f>
        <v>orthopoxvirus gene 131 (MPOX) [GENEPIO:0101316]                    </v>
      </c>
      <c r="C1206" s="39" t="str">
        <f>IFERROR(__xludf.DUMMYFUNCTION("""COMPUTED_VALUE"""),"GENEPIO:0101316")</f>
        <v>GENEPIO:0101316</v>
      </c>
      <c r="D1206" s="29"/>
      <c r="H1206" s="55" t="s">
        <v>19</v>
      </c>
      <c r="I1206" s="55" t="s">
        <v>19</v>
      </c>
      <c r="J1206" s="55" t="s">
        <v>19</v>
      </c>
      <c r="K1206" s="55" t="str">
        <f t="shared" si="72"/>
        <v>International</v>
      </c>
      <c r="M1206" s="40"/>
    </row>
    <row r="1207" hidden="1">
      <c r="A1207" s="34"/>
      <c r="B1207" s="53" t="str">
        <f>IFERROR(__xludf.DUMMYFUNCTION("""COMPUTED_VALUE"""),"orthopoxvirus gene 132 (MPOX) [GENEPIO:0101317]                    ")</f>
        <v>orthopoxvirus gene 132 (MPOX) [GENEPIO:0101317]                    </v>
      </c>
      <c r="C1207" s="39" t="str">
        <f>IFERROR(__xludf.DUMMYFUNCTION("""COMPUTED_VALUE"""),"GENEPIO:0101317")</f>
        <v>GENEPIO:0101317</v>
      </c>
      <c r="D1207" s="29"/>
      <c r="H1207" s="55" t="s">
        <v>19</v>
      </c>
      <c r="I1207" s="55" t="s">
        <v>19</v>
      </c>
      <c r="J1207" s="55" t="s">
        <v>19</v>
      </c>
      <c r="K1207" s="55" t="str">
        <f t="shared" si="72"/>
        <v>International</v>
      </c>
      <c r="M1207" s="40"/>
    </row>
    <row r="1208" hidden="1">
      <c r="A1208" s="34"/>
      <c r="B1208" s="53" t="str">
        <f>IFERROR(__xludf.DUMMYFUNCTION("""COMPUTED_VALUE"""),"orthopoxvirus gene 133 (MPOX) [GENEPIO:0101318]                    ")</f>
        <v>orthopoxvirus gene 133 (MPOX) [GENEPIO:0101318]                    </v>
      </c>
      <c r="C1208" s="39" t="str">
        <f>IFERROR(__xludf.DUMMYFUNCTION("""COMPUTED_VALUE"""),"GENEPIO:0101318")</f>
        <v>GENEPIO:0101318</v>
      </c>
      <c r="D1208" s="29"/>
      <c r="H1208" s="55" t="s">
        <v>19</v>
      </c>
      <c r="I1208" s="55" t="s">
        <v>19</v>
      </c>
      <c r="J1208" s="55" t="s">
        <v>19</v>
      </c>
      <c r="K1208" s="55" t="str">
        <f t="shared" si="72"/>
        <v>International</v>
      </c>
      <c r="M1208" s="40"/>
    </row>
    <row r="1209" hidden="1">
      <c r="A1209" s="34"/>
      <c r="B1209" s="53" t="str">
        <f>IFERROR(__xludf.DUMMYFUNCTION("""COMPUTED_VALUE"""),"orthopoxvirus gene 134 (MPOX) [GENEPIO:0101319]                    ")</f>
        <v>orthopoxvirus gene 134 (MPOX) [GENEPIO:0101319]                    </v>
      </c>
      <c r="C1209" s="39" t="str">
        <f>IFERROR(__xludf.DUMMYFUNCTION("""COMPUTED_VALUE"""),"GENEPIO:0101319")</f>
        <v>GENEPIO:0101319</v>
      </c>
      <c r="D1209" s="29"/>
      <c r="H1209" s="55" t="s">
        <v>19</v>
      </c>
      <c r="I1209" s="55" t="s">
        <v>19</v>
      </c>
      <c r="J1209" s="55" t="s">
        <v>19</v>
      </c>
      <c r="K1209" s="55" t="str">
        <f t="shared" si="72"/>
        <v>International</v>
      </c>
      <c r="M1209" s="40"/>
    </row>
    <row r="1210" hidden="1">
      <c r="A1210" s="34"/>
      <c r="B1210" s="53" t="str">
        <f>IFERROR(__xludf.DUMMYFUNCTION("""COMPUTED_VALUE"""),"orthopoxvirus gene 135 (MPOX) [GENEPIO:0101320]                    ")</f>
        <v>orthopoxvirus gene 135 (MPOX) [GENEPIO:0101320]                    </v>
      </c>
      <c r="C1210" s="39" t="str">
        <f>IFERROR(__xludf.DUMMYFUNCTION("""COMPUTED_VALUE"""),"GENEPIO:0101320")</f>
        <v>GENEPIO:0101320</v>
      </c>
      <c r="D1210" s="29"/>
      <c r="H1210" s="55" t="s">
        <v>19</v>
      </c>
      <c r="I1210" s="55" t="s">
        <v>19</v>
      </c>
      <c r="J1210" s="55" t="s">
        <v>19</v>
      </c>
      <c r="K1210" s="55" t="str">
        <f t="shared" si="72"/>
        <v>International</v>
      </c>
      <c r="M1210" s="40"/>
    </row>
    <row r="1211" hidden="1">
      <c r="A1211" s="34"/>
      <c r="B1211" s="53" t="str">
        <f>IFERROR(__xludf.DUMMYFUNCTION("""COMPUTED_VALUE"""),"orthopoxvirus gene 136 (MPOX) [GENEPIO:0101321]                    ")</f>
        <v>orthopoxvirus gene 136 (MPOX) [GENEPIO:0101321]                    </v>
      </c>
      <c r="C1211" s="39" t="str">
        <f>IFERROR(__xludf.DUMMYFUNCTION("""COMPUTED_VALUE"""),"GENEPIO:0101321")</f>
        <v>GENEPIO:0101321</v>
      </c>
      <c r="D1211" s="29"/>
      <c r="H1211" s="55" t="s">
        <v>19</v>
      </c>
      <c r="I1211" s="55" t="s">
        <v>19</v>
      </c>
      <c r="J1211" s="55" t="s">
        <v>19</v>
      </c>
      <c r="K1211" s="55" t="str">
        <f t="shared" si="72"/>
        <v>International</v>
      </c>
      <c r="M1211" s="40"/>
    </row>
    <row r="1212" hidden="1">
      <c r="A1212" s="34"/>
      <c r="B1212" s="53" t="str">
        <f>IFERROR(__xludf.DUMMYFUNCTION("""COMPUTED_VALUE"""),"orthopoxvirus gene 137 (MPOX) [GENEPIO:0101322]                    ")</f>
        <v>orthopoxvirus gene 137 (MPOX) [GENEPIO:0101322]                    </v>
      </c>
      <c r="C1212" s="39" t="str">
        <f>IFERROR(__xludf.DUMMYFUNCTION("""COMPUTED_VALUE"""),"GENEPIO:0101322")</f>
        <v>GENEPIO:0101322</v>
      </c>
      <c r="D1212" s="29"/>
      <c r="H1212" s="55" t="s">
        <v>19</v>
      </c>
      <c r="I1212" s="55" t="s">
        <v>19</v>
      </c>
      <c r="J1212" s="55" t="s">
        <v>19</v>
      </c>
      <c r="K1212" s="55" t="str">
        <f t="shared" si="72"/>
        <v>International</v>
      </c>
      <c r="M1212" s="40"/>
    </row>
    <row r="1213" hidden="1">
      <c r="A1213" s="34"/>
      <c r="B1213" s="53" t="str">
        <f>IFERROR(__xludf.DUMMYFUNCTION("""COMPUTED_VALUE"""),"orthopoxvirus gene 138 (MPOX) [GENEPIO:0101323]                    ")</f>
        <v>orthopoxvirus gene 138 (MPOX) [GENEPIO:0101323]                    </v>
      </c>
      <c r="C1213" s="39" t="str">
        <f>IFERROR(__xludf.DUMMYFUNCTION("""COMPUTED_VALUE"""),"GENEPIO:0101323")</f>
        <v>GENEPIO:0101323</v>
      </c>
      <c r="D1213" s="29"/>
      <c r="H1213" s="55" t="s">
        <v>19</v>
      </c>
      <c r="I1213" s="55" t="s">
        <v>19</v>
      </c>
      <c r="J1213" s="55" t="s">
        <v>19</v>
      </c>
      <c r="K1213" s="55" t="str">
        <f t="shared" si="72"/>
        <v>International</v>
      </c>
      <c r="M1213" s="40"/>
    </row>
    <row r="1214" hidden="1">
      <c r="A1214" s="34"/>
      <c r="B1214" s="53" t="str">
        <f>IFERROR(__xludf.DUMMYFUNCTION("""COMPUTED_VALUE"""),"orthopoxvirus gene 139 (MPOX) [GENEPIO:0101324]                    ")</f>
        <v>orthopoxvirus gene 139 (MPOX) [GENEPIO:0101324]                    </v>
      </c>
      <c r="C1214" s="39" t="str">
        <f>IFERROR(__xludf.DUMMYFUNCTION("""COMPUTED_VALUE"""),"GENEPIO:0101324")</f>
        <v>GENEPIO:0101324</v>
      </c>
      <c r="D1214" s="29"/>
      <c r="H1214" s="55" t="s">
        <v>19</v>
      </c>
      <c r="I1214" s="55" t="s">
        <v>19</v>
      </c>
      <c r="J1214" s="55" t="s">
        <v>19</v>
      </c>
      <c r="K1214" s="55" t="str">
        <f t="shared" si="72"/>
        <v>International</v>
      </c>
      <c r="M1214" s="40"/>
    </row>
    <row r="1215" hidden="1">
      <c r="A1215" s="34"/>
      <c r="B1215" s="53" t="str">
        <f>IFERROR(__xludf.DUMMYFUNCTION("""COMPUTED_VALUE"""),"orthopoxvirus gene 140 (MPOX) [GENEPIO:0101325]                    ")</f>
        <v>orthopoxvirus gene 140 (MPOX) [GENEPIO:0101325]                    </v>
      </c>
      <c r="C1215" s="39" t="str">
        <f>IFERROR(__xludf.DUMMYFUNCTION("""COMPUTED_VALUE"""),"GENEPIO:0101325")</f>
        <v>GENEPIO:0101325</v>
      </c>
      <c r="D1215" s="29"/>
      <c r="H1215" s="55" t="s">
        <v>19</v>
      </c>
      <c r="I1215" s="55" t="s">
        <v>19</v>
      </c>
      <c r="J1215" s="55" t="s">
        <v>19</v>
      </c>
      <c r="K1215" s="55" t="str">
        <f t="shared" si="72"/>
        <v>International</v>
      </c>
      <c r="M1215" s="40"/>
    </row>
    <row r="1216" hidden="1">
      <c r="A1216" s="34"/>
      <c r="B1216" s="53" t="str">
        <f>IFERROR(__xludf.DUMMYFUNCTION("""COMPUTED_VALUE"""),"orthopoxvirus gene 141 (MPOX) [GENEPIO:0101326]                    ")</f>
        <v>orthopoxvirus gene 141 (MPOX) [GENEPIO:0101326]                    </v>
      </c>
      <c r="C1216" s="39" t="str">
        <f>IFERROR(__xludf.DUMMYFUNCTION("""COMPUTED_VALUE"""),"GENEPIO:0101326")</f>
        <v>GENEPIO:0101326</v>
      </c>
      <c r="D1216" s="29"/>
      <c r="H1216" s="55" t="s">
        <v>19</v>
      </c>
      <c r="I1216" s="55" t="s">
        <v>19</v>
      </c>
      <c r="J1216" s="55" t="s">
        <v>19</v>
      </c>
      <c r="K1216" s="55" t="str">
        <f t="shared" si="72"/>
        <v>International</v>
      </c>
      <c r="M1216" s="40"/>
    </row>
    <row r="1217" hidden="1">
      <c r="A1217" s="34"/>
      <c r="B1217" s="53" t="str">
        <f>IFERROR(__xludf.DUMMYFUNCTION("""COMPUTED_VALUE"""),"orthopoxvirus gene 142 (MPOX) [GENEPIO:0101327]                    ")</f>
        <v>orthopoxvirus gene 142 (MPOX) [GENEPIO:0101327]                    </v>
      </c>
      <c r="C1217" s="39" t="str">
        <f>IFERROR(__xludf.DUMMYFUNCTION("""COMPUTED_VALUE"""),"GENEPIO:0101327")</f>
        <v>GENEPIO:0101327</v>
      </c>
      <c r="D1217" s="29"/>
      <c r="H1217" s="55" t="s">
        <v>19</v>
      </c>
      <c r="I1217" s="55" t="s">
        <v>19</v>
      </c>
      <c r="J1217" s="55" t="s">
        <v>19</v>
      </c>
      <c r="K1217" s="55" t="str">
        <f t="shared" si="72"/>
        <v>International</v>
      </c>
      <c r="M1217" s="40"/>
    </row>
    <row r="1218" hidden="1">
      <c r="A1218" s="34"/>
      <c r="B1218" s="53" t="str">
        <f>IFERROR(__xludf.DUMMYFUNCTION("""COMPUTED_VALUE"""),"orthopoxvirus gene 143 (MPOX) [GENEPIO:0101328]                    ")</f>
        <v>orthopoxvirus gene 143 (MPOX) [GENEPIO:0101328]                    </v>
      </c>
      <c r="C1218" s="39" t="str">
        <f>IFERROR(__xludf.DUMMYFUNCTION("""COMPUTED_VALUE"""),"GENEPIO:0101328")</f>
        <v>GENEPIO:0101328</v>
      </c>
      <c r="D1218" s="29"/>
      <c r="H1218" s="55" t="s">
        <v>19</v>
      </c>
      <c r="I1218" s="55" t="s">
        <v>19</v>
      </c>
      <c r="J1218" s="55" t="s">
        <v>19</v>
      </c>
      <c r="K1218" s="55" t="str">
        <f t="shared" si="72"/>
        <v>International</v>
      </c>
      <c r="M1218" s="40"/>
    </row>
    <row r="1219" hidden="1">
      <c r="A1219" s="34"/>
      <c r="B1219" s="53" t="str">
        <f>IFERROR(__xludf.DUMMYFUNCTION("""COMPUTED_VALUE"""),"orthopoxvirus gene 144 (MPOX) [GENEPIO:0101329]                    ")</f>
        <v>orthopoxvirus gene 144 (MPOX) [GENEPIO:0101329]                    </v>
      </c>
      <c r="C1219" s="39" t="str">
        <f>IFERROR(__xludf.DUMMYFUNCTION("""COMPUTED_VALUE"""),"GENEPIO:0101329")</f>
        <v>GENEPIO:0101329</v>
      </c>
      <c r="D1219" s="29"/>
      <c r="H1219" s="55" t="s">
        <v>19</v>
      </c>
      <c r="I1219" s="55" t="s">
        <v>19</v>
      </c>
      <c r="J1219" s="55" t="s">
        <v>19</v>
      </c>
      <c r="K1219" s="55" t="str">
        <f t="shared" si="72"/>
        <v>International</v>
      </c>
      <c r="M1219" s="40"/>
    </row>
    <row r="1220" hidden="1">
      <c r="A1220" s="34"/>
      <c r="B1220" s="53" t="str">
        <f>IFERROR(__xludf.DUMMYFUNCTION("""COMPUTED_VALUE"""),"orthopoxvirus gene 145 (MPOX) [GENEPIO:0101330]                    ")</f>
        <v>orthopoxvirus gene 145 (MPOX) [GENEPIO:0101330]                    </v>
      </c>
      <c r="C1220" s="39" t="str">
        <f>IFERROR(__xludf.DUMMYFUNCTION("""COMPUTED_VALUE"""),"GENEPIO:0101330")</f>
        <v>GENEPIO:0101330</v>
      </c>
      <c r="D1220" s="29"/>
      <c r="H1220" s="55" t="s">
        <v>19</v>
      </c>
      <c r="I1220" s="55" t="s">
        <v>19</v>
      </c>
      <c r="J1220" s="55" t="s">
        <v>19</v>
      </c>
      <c r="K1220" s="55" t="str">
        <f t="shared" si="72"/>
        <v>International</v>
      </c>
      <c r="M1220" s="40"/>
    </row>
    <row r="1221" hidden="1">
      <c r="A1221" s="34"/>
      <c r="B1221" s="53" t="str">
        <f>IFERROR(__xludf.DUMMYFUNCTION("""COMPUTED_VALUE"""),"orthopoxvirus gene 146 (MPOX) [GENEPIO:0101331]                    ")</f>
        <v>orthopoxvirus gene 146 (MPOX) [GENEPIO:0101331]                    </v>
      </c>
      <c r="C1221" s="39" t="str">
        <f>IFERROR(__xludf.DUMMYFUNCTION("""COMPUTED_VALUE"""),"GENEPIO:0101331")</f>
        <v>GENEPIO:0101331</v>
      </c>
      <c r="D1221" s="29"/>
      <c r="H1221" s="55" t="s">
        <v>19</v>
      </c>
      <c r="I1221" s="55" t="s">
        <v>19</v>
      </c>
      <c r="J1221" s="55" t="s">
        <v>19</v>
      </c>
      <c r="K1221" s="55" t="str">
        <f t="shared" si="72"/>
        <v>International</v>
      </c>
      <c r="M1221" s="40"/>
    </row>
    <row r="1222" hidden="1">
      <c r="A1222" s="34"/>
      <c r="B1222" s="53" t="str">
        <f>IFERROR(__xludf.DUMMYFUNCTION("""COMPUTED_VALUE"""),"orthopoxvirus gene 147 (MPOX) [GENEPIO:0101332]                    ")</f>
        <v>orthopoxvirus gene 147 (MPOX) [GENEPIO:0101332]                    </v>
      </c>
      <c r="C1222" s="39" t="str">
        <f>IFERROR(__xludf.DUMMYFUNCTION("""COMPUTED_VALUE"""),"GENEPIO:0101332")</f>
        <v>GENEPIO:0101332</v>
      </c>
      <c r="D1222" s="29"/>
      <c r="H1222" s="55" t="s">
        <v>19</v>
      </c>
      <c r="I1222" s="55" t="s">
        <v>19</v>
      </c>
      <c r="J1222" s="55" t="s">
        <v>19</v>
      </c>
      <c r="K1222" s="55" t="str">
        <f t="shared" si="72"/>
        <v>International</v>
      </c>
      <c r="M1222" s="40"/>
    </row>
    <row r="1223" hidden="1">
      <c r="A1223" s="34"/>
      <c r="B1223" s="53" t="str">
        <f>IFERROR(__xludf.DUMMYFUNCTION("""COMPUTED_VALUE"""),"orthopoxvirus gene 148 (MPOX) [GENEPIO:0101333]                    ")</f>
        <v>orthopoxvirus gene 148 (MPOX) [GENEPIO:0101333]                    </v>
      </c>
      <c r="C1223" s="39" t="str">
        <f>IFERROR(__xludf.DUMMYFUNCTION("""COMPUTED_VALUE"""),"GENEPIO:0101333")</f>
        <v>GENEPIO:0101333</v>
      </c>
      <c r="D1223" s="29"/>
      <c r="H1223" s="55" t="s">
        <v>19</v>
      </c>
      <c r="I1223" s="55" t="s">
        <v>19</v>
      </c>
      <c r="J1223" s="55" t="s">
        <v>19</v>
      </c>
      <c r="K1223" s="55" t="str">
        <f t="shared" si="72"/>
        <v>International</v>
      </c>
      <c r="M1223" s="40"/>
    </row>
    <row r="1224" hidden="1">
      <c r="A1224" s="34"/>
      <c r="B1224" s="53" t="str">
        <f>IFERROR(__xludf.DUMMYFUNCTION("""COMPUTED_VALUE"""),"orthopoxvirus gene 149 (MPOX) [GENEPIO:0101334]                    ")</f>
        <v>orthopoxvirus gene 149 (MPOX) [GENEPIO:0101334]                    </v>
      </c>
      <c r="C1224" s="39" t="str">
        <f>IFERROR(__xludf.DUMMYFUNCTION("""COMPUTED_VALUE"""),"GENEPIO:0101334")</f>
        <v>GENEPIO:0101334</v>
      </c>
      <c r="D1224" s="29"/>
      <c r="H1224" s="55" t="s">
        <v>19</v>
      </c>
      <c r="I1224" s="55" t="s">
        <v>19</v>
      </c>
      <c r="J1224" s="55" t="s">
        <v>19</v>
      </c>
      <c r="K1224" s="55" t="str">
        <f t="shared" si="72"/>
        <v>International</v>
      </c>
      <c r="M1224" s="40"/>
    </row>
    <row r="1225" hidden="1">
      <c r="A1225" s="34"/>
      <c r="B1225" s="53" t="str">
        <f>IFERROR(__xludf.DUMMYFUNCTION("""COMPUTED_VALUE"""),"orthopoxvirus gene 150 (MPOX) [GENEPIO:0101335]                    ")</f>
        <v>orthopoxvirus gene 150 (MPOX) [GENEPIO:0101335]                    </v>
      </c>
      <c r="C1225" s="39" t="str">
        <f>IFERROR(__xludf.DUMMYFUNCTION("""COMPUTED_VALUE"""),"GENEPIO:0101335")</f>
        <v>GENEPIO:0101335</v>
      </c>
      <c r="D1225" s="29"/>
      <c r="H1225" s="55" t="s">
        <v>19</v>
      </c>
      <c r="I1225" s="55" t="s">
        <v>19</v>
      </c>
      <c r="J1225" s="55" t="s">
        <v>19</v>
      </c>
      <c r="K1225" s="55" t="str">
        <f t="shared" si="72"/>
        <v>International</v>
      </c>
      <c r="M1225" s="40"/>
    </row>
    <row r="1226" hidden="1">
      <c r="A1226" s="34"/>
      <c r="B1226" s="53" t="str">
        <f>IFERROR(__xludf.DUMMYFUNCTION("""COMPUTED_VALUE"""),"orthopoxvirus gene 151 (MPOX) [GENEPIO:0101336]                    ")</f>
        <v>orthopoxvirus gene 151 (MPOX) [GENEPIO:0101336]                    </v>
      </c>
      <c r="C1226" s="39" t="str">
        <f>IFERROR(__xludf.DUMMYFUNCTION("""COMPUTED_VALUE"""),"GENEPIO:0101336")</f>
        <v>GENEPIO:0101336</v>
      </c>
      <c r="D1226" s="29"/>
      <c r="H1226" s="55" t="s">
        <v>19</v>
      </c>
      <c r="I1226" s="55" t="s">
        <v>19</v>
      </c>
      <c r="J1226" s="55" t="s">
        <v>19</v>
      </c>
      <c r="K1226" s="55" t="str">
        <f t="shared" si="72"/>
        <v>International</v>
      </c>
      <c r="M1226" s="40"/>
    </row>
    <row r="1227" hidden="1">
      <c r="A1227" s="34"/>
      <c r="B1227" s="53" t="str">
        <f>IFERROR(__xludf.DUMMYFUNCTION("""COMPUTED_VALUE"""),"orthopoxvirus gene 153 (MPOX) [GENEPIO:0101337]                    ")</f>
        <v>orthopoxvirus gene 153 (MPOX) [GENEPIO:0101337]                    </v>
      </c>
      <c r="C1227" s="39" t="str">
        <f>IFERROR(__xludf.DUMMYFUNCTION("""COMPUTED_VALUE"""),"GENEPIO:0101337")</f>
        <v>GENEPIO:0101337</v>
      </c>
      <c r="D1227" s="29"/>
      <c r="H1227" s="55" t="s">
        <v>19</v>
      </c>
      <c r="I1227" s="55" t="s">
        <v>19</v>
      </c>
      <c r="J1227" s="55" t="s">
        <v>19</v>
      </c>
      <c r="K1227" s="55" t="str">
        <f t="shared" si="72"/>
        <v>International</v>
      </c>
      <c r="M1227" s="40"/>
    </row>
    <row r="1228" hidden="1">
      <c r="A1228" s="34"/>
      <c r="B1228" s="53" t="str">
        <f>IFERROR(__xludf.DUMMYFUNCTION("""COMPUTED_VALUE"""),"orthopoxvirus gene 154 (MPOX) [GENEPIO:0101338]                    ")</f>
        <v>orthopoxvirus gene 154 (MPOX) [GENEPIO:0101338]                    </v>
      </c>
      <c r="C1228" s="39" t="str">
        <f>IFERROR(__xludf.DUMMYFUNCTION("""COMPUTED_VALUE"""),"GENEPIO:0101338")</f>
        <v>GENEPIO:0101338</v>
      </c>
      <c r="D1228" s="29"/>
      <c r="H1228" s="55" t="s">
        <v>19</v>
      </c>
      <c r="I1228" s="55" t="s">
        <v>19</v>
      </c>
      <c r="J1228" s="55" t="s">
        <v>19</v>
      </c>
      <c r="K1228" s="55" t="str">
        <f t="shared" si="72"/>
        <v>International</v>
      </c>
      <c r="M1228" s="40"/>
    </row>
    <row r="1229" hidden="1">
      <c r="A1229" s="34"/>
      <c r="B1229" s="53" t="str">
        <f>IFERROR(__xludf.DUMMYFUNCTION("""COMPUTED_VALUE"""),"orthopoxvirus gene 155 (MPOX) [GENEPIO:0101339]                    ")</f>
        <v>orthopoxvirus gene 155 (MPOX) [GENEPIO:0101339]                    </v>
      </c>
      <c r="C1229" s="39" t="str">
        <f>IFERROR(__xludf.DUMMYFUNCTION("""COMPUTED_VALUE"""),"GENEPIO:0101339")</f>
        <v>GENEPIO:0101339</v>
      </c>
      <c r="D1229" s="29"/>
      <c r="H1229" s="55" t="s">
        <v>19</v>
      </c>
      <c r="I1229" s="55" t="s">
        <v>19</v>
      </c>
      <c r="J1229" s="55" t="s">
        <v>19</v>
      </c>
      <c r="K1229" s="55" t="str">
        <f t="shared" si="72"/>
        <v>International</v>
      </c>
      <c r="M1229" s="40"/>
    </row>
    <row r="1230" hidden="1">
      <c r="A1230" s="34"/>
      <c r="B1230" s="53" t="str">
        <f>IFERROR(__xludf.DUMMYFUNCTION("""COMPUTED_VALUE"""),"orthopoxvirus gene 156 (MPOX) [GENEPIO:0101340]                    ")</f>
        <v>orthopoxvirus gene 156 (MPOX) [GENEPIO:0101340]                    </v>
      </c>
      <c r="C1230" s="39" t="str">
        <f>IFERROR(__xludf.DUMMYFUNCTION("""COMPUTED_VALUE"""),"GENEPIO:0101340")</f>
        <v>GENEPIO:0101340</v>
      </c>
      <c r="D1230" s="29"/>
      <c r="H1230" s="55" t="s">
        <v>19</v>
      </c>
      <c r="I1230" s="55" t="s">
        <v>19</v>
      </c>
      <c r="J1230" s="55" t="s">
        <v>19</v>
      </c>
      <c r="K1230" s="55" t="str">
        <f t="shared" si="72"/>
        <v>International</v>
      </c>
      <c r="M1230" s="40"/>
    </row>
    <row r="1231" hidden="1">
      <c r="A1231" s="34"/>
      <c r="B1231" s="53" t="str">
        <f>IFERROR(__xludf.DUMMYFUNCTION("""COMPUTED_VALUE"""),"orthopoxvirus gene 157 (MPOX) [GENEPIO:0101341]                    ")</f>
        <v>orthopoxvirus gene 157 (MPOX) [GENEPIO:0101341]                    </v>
      </c>
      <c r="C1231" s="39" t="str">
        <f>IFERROR(__xludf.DUMMYFUNCTION("""COMPUTED_VALUE"""),"GENEPIO:0101341")</f>
        <v>GENEPIO:0101341</v>
      </c>
      <c r="D1231" s="29"/>
      <c r="H1231" s="55" t="s">
        <v>19</v>
      </c>
      <c r="I1231" s="55" t="s">
        <v>19</v>
      </c>
      <c r="J1231" s="55" t="s">
        <v>19</v>
      </c>
      <c r="K1231" s="55" t="str">
        <f t="shared" si="72"/>
        <v>International</v>
      </c>
      <c r="M1231" s="40"/>
    </row>
    <row r="1232" hidden="1">
      <c r="A1232" s="34"/>
      <c r="B1232" s="53" t="str">
        <f>IFERROR(__xludf.DUMMYFUNCTION("""COMPUTED_VALUE"""),"orthopoxvirus gene 158 (MPOX) [GENEPIO:0101342]                    ")</f>
        <v>orthopoxvirus gene 158 (MPOX) [GENEPIO:0101342]                    </v>
      </c>
      <c r="C1232" s="39" t="str">
        <f>IFERROR(__xludf.DUMMYFUNCTION("""COMPUTED_VALUE"""),"GENEPIO:0101342")</f>
        <v>GENEPIO:0101342</v>
      </c>
      <c r="D1232" s="29"/>
      <c r="H1232" s="55" t="s">
        <v>19</v>
      </c>
      <c r="I1232" s="55" t="s">
        <v>19</v>
      </c>
      <c r="J1232" s="55" t="s">
        <v>19</v>
      </c>
      <c r="K1232" s="55" t="str">
        <f t="shared" si="72"/>
        <v>International</v>
      </c>
      <c r="M1232" s="40"/>
    </row>
    <row r="1233" hidden="1">
      <c r="A1233" s="34"/>
      <c r="B1233" s="53" t="str">
        <f>IFERROR(__xludf.DUMMYFUNCTION("""COMPUTED_VALUE"""),"orthopoxvirus gene 159 (MPOX) [GENEPIO:0101343]                    ")</f>
        <v>orthopoxvirus gene 159 (MPOX) [GENEPIO:0101343]                    </v>
      </c>
      <c r="C1233" s="39" t="str">
        <f>IFERROR(__xludf.DUMMYFUNCTION("""COMPUTED_VALUE"""),"GENEPIO:0101343")</f>
        <v>GENEPIO:0101343</v>
      </c>
      <c r="D1233" s="29"/>
      <c r="H1233" s="55" t="s">
        <v>19</v>
      </c>
      <c r="I1233" s="55" t="s">
        <v>19</v>
      </c>
      <c r="J1233" s="55" t="s">
        <v>19</v>
      </c>
      <c r="K1233" s="55" t="str">
        <f t="shared" si="72"/>
        <v>International</v>
      </c>
      <c r="M1233" s="40"/>
    </row>
    <row r="1234" hidden="1">
      <c r="A1234" s="34"/>
      <c r="B1234" s="53" t="str">
        <f>IFERROR(__xludf.DUMMYFUNCTION("""COMPUTED_VALUE"""),"orthopoxvirus gene 160 (MPOX) [GENEPIO:0101344]                    ")</f>
        <v>orthopoxvirus gene 160 (MPOX) [GENEPIO:0101344]                    </v>
      </c>
      <c r="C1234" s="39" t="str">
        <f>IFERROR(__xludf.DUMMYFUNCTION("""COMPUTED_VALUE"""),"GENEPIO:0101344")</f>
        <v>GENEPIO:0101344</v>
      </c>
      <c r="D1234" s="29"/>
      <c r="H1234" s="55" t="s">
        <v>19</v>
      </c>
      <c r="I1234" s="55" t="s">
        <v>19</v>
      </c>
      <c r="J1234" s="55" t="s">
        <v>19</v>
      </c>
      <c r="K1234" s="55" t="str">
        <f t="shared" si="72"/>
        <v>International</v>
      </c>
      <c r="M1234" s="40"/>
    </row>
    <row r="1235" hidden="1">
      <c r="A1235" s="34"/>
      <c r="B1235" s="53" t="str">
        <f>IFERROR(__xludf.DUMMYFUNCTION("""COMPUTED_VALUE"""),"orthopoxvirus gene 161 (MPOX) [GENEPIO:0101345]                    ")</f>
        <v>orthopoxvirus gene 161 (MPOX) [GENEPIO:0101345]                    </v>
      </c>
      <c r="C1235" s="39" t="str">
        <f>IFERROR(__xludf.DUMMYFUNCTION("""COMPUTED_VALUE"""),"GENEPIO:0101345")</f>
        <v>GENEPIO:0101345</v>
      </c>
      <c r="D1235" s="29"/>
      <c r="H1235" s="55" t="s">
        <v>19</v>
      </c>
      <c r="I1235" s="55" t="s">
        <v>19</v>
      </c>
      <c r="J1235" s="55" t="s">
        <v>19</v>
      </c>
      <c r="K1235" s="55" t="str">
        <f t="shared" si="72"/>
        <v>International</v>
      </c>
      <c r="M1235" s="40"/>
    </row>
    <row r="1236" hidden="1">
      <c r="A1236" s="34"/>
      <c r="B1236" s="53" t="str">
        <f>IFERROR(__xludf.DUMMYFUNCTION("""COMPUTED_VALUE"""),"orthopoxvirus gene 162 (MPOX) [GENEPIO:0101346]                    ")</f>
        <v>orthopoxvirus gene 162 (MPOX) [GENEPIO:0101346]                    </v>
      </c>
      <c r="C1236" s="39" t="str">
        <f>IFERROR(__xludf.DUMMYFUNCTION("""COMPUTED_VALUE"""),"GENEPIO:0101346")</f>
        <v>GENEPIO:0101346</v>
      </c>
      <c r="D1236" s="29"/>
      <c r="H1236" s="55" t="s">
        <v>19</v>
      </c>
      <c r="I1236" s="55" t="s">
        <v>19</v>
      </c>
      <c r="J1236" s="55" t="s">
        <v>19</v>
      </c>
      <c r="K1236" s="55" t="str">
        <f t="shared" si="72"/>
        <v>International</v>
      </c>
      <c r="M1236" s="40"/>
    </row>
    <row r="1237" hidden="1">
      <c r="A1237" s="34"/>
      <c r="B1237" s="53" t="str">
        <f>IFERROR(__xludf.DUMMYFUNCTION("""COMPUTED_VALUE"""),"orthopoxvirus gene 163 (MPOX) [GENEPIO:0101347]                    ")</f>
        <v>orthopoxvirus gene 163 (MPOX) [GENEPIO:0101347]                    </v>
      </c>
      <c r="C1237" s="39" t="str">
        <f>IFERROR(__xludf.DUMMYFUNCTION("""COMPUTED_VALUE"""),"GENEPIO:0101347")</f>
        <v>GENEPIO:0101347</v>
      </c>
      <c r="D1237" s="29"/>
      <c r="H1237" s="55" t="s">
        <v>19</v>
      </c>
      <c r="I1237" s="55" t="s">
        <v>19</v>
      </c>
      <c r="J1237" s="55" t="s">
        <v>19</v>
      </c>
      <c r="K1237" s="55" t="str">
        <f t="shared" si="72"/>
        <v>International</v>
      </c>
      <c r="M1237" s="40"/>
    </row>
    <row r="1238" hidden="1">
      <c r="A1238" s="34"/>
      <c r="B1238" s="53" t="str">
        <f>IFERROR(__xludf.DUMMYFUNCTION("""COMPUTED_VALUE"""),"orthopoxvirus gene 164 (MPOX) [GENEPIO:0101348]                    ")</f>
        <v>orthopoxvirus gene 164 (MPOX) [GENEPIO:0101348]                    </v>
      </c>
      <c r="C1238" s="39" t="str">
        <f>IFERROR(__xludf.DUMMYFUNCTION("""COMPUTED_VALUE"""),"GENEPIO:0101348")</f>
        <v>GENEPIO:0101348</v>
      </c>
      <c r="D1238" s="29"/>
      <c r="H1238" s="55" t="s">
        <v>19</v>
      </c>
      <c r="I1238" s="55" t="s">
        <v>19</v>
      </c>
      <c r="J1238" s="55" t="s">
        <v>19</v>
      </c>
      <c r="K1238" s="55" t="str">
        <f t="shared" si="72"/>
        <v>International</v>
      </c>
      <c r="M1238" s="40"/>
    </row>
    <row r="1239" hidden="1">
      <c r="A1239" s="34"/>
      <c r="B1239" s="53" t="str">
        <f>IFERROR(__xludf.DUMMYFUNCTION("""COMPUTED_VALUE"""),"orthopoxvirus gene 165 (MPOX) [GENEPIO:0101349]                    ")</f>
        <v>orthopoxvirus gene 165 (MPOX) [GENEPIO:0101349]                    </v>
      </c>
      <c r="C1239" s="39" t="str">
        <f>IFERROR(__xludf.DUMMYFUNCTION("""COMPUTED_VALUE"""),"GENEPIO:0101349")</f>
        <v>GENEPIO:0101349</v>
      </c>
      <c r="D1239" s="29"/>
      <c r="H1239" s="55" t="s">
        <v>19</v>
      </c>
      <c r="I1239" s="55" t="s">
        <v>19</v>
      </c>
      <c r="J1239" s="55" t="s">
        <v>19</v>
      </c>
      <c r="K1239" s="55" t="str">
        <f t="shared" si="72"/>
        <v>International</v>
      </c>
      <c r="M1239" s="40"/>
    </row>
    <row r="1240" hidden="1">
      <c r="A1240" s="34"/>
      <c r="B1240" s="53" t="str">
        <f>IFERROR(__xludf.DUMMYFUNCTION("""COMPUTED_VALUE"""),"orthopoxvirus gene 166 (MPOX) [GENEPIO:0101350]                    ")</f>
        <v>orthopoxvirus gene 166 (MPOX) [GENEPIO:0101350]                    </v>
      </c>
      <c r="C1240" s="39" t="str">
        <f>IFERROR(__xludf.DUMMYFUNCTION("""COMPUTED_VALUE"""),"GENEPIO:0101350")</f>
        <v>GENEPIO:0101350</v>
      </c>
      <c r="D1240" s="29"/>
      <c r="H1240" s="55" t="s">
        <v>19</v>
      </c>
      <c r="I1240" s="55" t="s">
        <v>19</v>
      </c>
      <c r="J1240" s="55" t="s">
        <v>19</v>
      </c>
      <c r="K1240" s="55" t="str">
        <f t="shared" si="72"/>
        <v>International</v>
      </c>
      <c r="M1240" s="40"/>
    </row>
    <row r="1241" hidden="1">
      <c r="A1241" s="34"/>
      <c r="B1241" s="53" t="str">
        <f>IFERROR(__xludf.DUMMYFUNCTION("""COMPUTED_VALUE"""),"orthopoxvirus gene 167 (MPOX) [GENEPIO:0101351]                    ")</f>
        <v>orthopoxvirus gene 167 (MPOX) [GENEPIO:0101351]                    </v>
      </c>
      <c r="C1241" s="39" t="str">
        <f>IFERROR(__xludf.DUMMYFUNCTION("""COMPUTED_VALUE"""),"GENEPIO:0101351")</f>
        <v>GENEPIO:0101351</v>
      </c>
      <c r="D1241" s="29"/>
      <c r="H1241" s="55" t="s">
        <v>19</v>
      </c>
      <c r="I1241" s="55" t="s">
        <v>19</v>
      </c>
      <c r="J1241" s="55" t="s">
        <v>19</v>
      </c>
      <c r="K1241" s="55" t="str">
        <f t="shared" si="72"/>
        <v>International</v>
      </c>
      <c r="M1241" s="40"/>
    </row>
    <row r="1242" hidden="1">
      <c r="A1242" s="34"/>
      <c r="B1242" s="53" t="str">
        <f>IFERROR(__xludf.DUMMYFUNCTION("""COMPUTED_VALUE"""),"orthopoxvirus gene 170 (MPOX) [GENEPIO:0101352]                    ")</f>
        <v>orthopoxvirus gene 170 (MPOX) [GENEPIO:0101352]                    </v>
      </c>
      <c r="C1242" s="39" t="str">
        <f>IFERROR(__xludf.DUMMYFUNCTION("""COMPUTED_VALUE"""),"GENEPIO:0101352")</f>
        <v>GENEPIO:0101352</v>
      </c>
      <c r="D1242" s="29"/>
      <c r="H1242" s="55" t="s">
        <v>19</v>
      </c>
      <c r="I1242" s="55" t="s">
        <v>19</v>
      </c>
      <c r="J1242" s="55" t="s">
        <v>19</v>
      </c>
      <c r="K1242" s="55" t="str">
        <f t="shared" si="72"/>
        <v>International</v>
      </c>
      <c r="M1242" s="40"/>
    </row>
    <row r="1243" hidden="1">
      <c r="A1243" s="34"/>
      <c r="B1243" s="53" t="str">
        <f>IFERROR(__xludf.DUMMYFUNCTION("""COMPUTED_VALUE"""),"orthopoxvirus gene 171 (MPOX) [GENEPIO:0101353]                    ")</f>
        <v>orthopoxvirus gene 171 (MPOX) [GENEPIO:0101353]                    </v>
      </c>
      <c r="C1243" s="39" t="str">
        <f>IFERROR(__xludf.DUMMYFUNCTION("""COMPUTED_VALUE"""),"GENEPIO:0101353")</f>
        <v>GENEPIO:0101353</v>
      </c>
      <c r="D1243" s="29"/>
      <c r="H1243" s="55" t="s">
        <v>19</v>
      </c>
      <c r="I1243" s="55" t="s">
        <v>19</v>
      </c>
      <c r="J1243" s="55" t="s">
        <v>19</v>
      </c>
      <c r="K1243" s="55" t="str">
        <f t="shared" si="72"/>
        <v>International</v>
      </c>
      <c r="M1243" s="40"/>
    </row>
    <row r="1244" hidden="1">
      <c r="A1244" s="34"/>
      <c r="B1244" s="53" t="str">
        <f>IFERROR(__xludf.DUMMYFUNCTION("""COMPUTED_VALUE"""),"orthopoxvirus gene 172 (MPOX) [GENEPIO:0101354]                    ")</f>
        <v>orthopoxvirus gene 172 (MPOX) [GENEPIO:0101354]                    </v>
      </c>
      <c r="C1244" s="39" t="str">
        <f>IFERROR(__xludf.DUMMYFUNCTION("""COMPUTED_VALUE"""),"GENEPIO:0101354")</f>
        <v>GENEPIO:0101354</v>
      </c>
      <c r="D1244" s="29"/>
      <c r="H1244" s="55" t="s">
        <v>19</v>
      </c>
      <c r="I1244" s="55" t="s">
        <v>19</v>
      </c>
      <c r="J1244" s="55" t="s">
        <v>19</v>
      </c>
      <c r="K1244" s="55" t="str">
        <f t="shared" si="72"/>
        <v>International</v>
      </c>
      <c r="M1244" s="40"/>
    </row>
    <row r="1245" hidden="1">
      <c r="A1245" s="34"/>
      <c r="B1245" s="53" t="str">
        <f>IFERROR(__xludf.DUMMYFUNCTION("""COMPUTED_VALUE"""),"orthopoxvirus gene 173 (MPOX) [GENEPIO:0101355]                    ")</f>
        <v>orthopoxvirus gene 173 (MPOX) [GENEPIO:0101355]                    </v>
      </c>
      <c r="C1245" s="39" t="str">
        <f>IFERROR(__xludf.DUMMYFUNCTION("""COMPUTED_VALUE"""),"GENEPIO:0101355")</f>
        <v>GENEPIO:0101355</v>
      </c>
      <c r="D1245" s="29"/>
      <c r="H1245" s="55" t="s">
        <v>19</v>
      </c>
      <c r="I1245" s="55" t="s">
        <v>19</v>
      </c>
      <c r="J1245" s="55" t="s">
        <v>19</v>
      </c>
      <c r="K1245" s="55" t="str">
        <f t="shared" si="72"/>
        <v>International</v>
      </c>
      <c r="M1245" s="40"/>
    </row>
    <row r="1246" hidden="1">
      <c r="A1246" s="34"/>
      <c r="B1246" s="53" t="str">
        <f>IFERROR(__xludf.DUMMYFUNCTION("""COMPUTED_VALUE"""),"orthopoxvirus gene 174 (MPOX) [GENEPIO:0101356]                    ")</f>
        <v>orthopoxvirus gene 174 (MPOX) [GENEPIO:0101356]                    </v>
      </c>
      <c r="C1246" s="39" t="str">
        <f>IFERROR(__xludf.DUMMYFUNCTION("""COMPUTED_VALUE"""),"GENEPIO:0101356")</f>
        <v>GENEPIO:0101356</v>
      </c>
      <c r="D1246" s="29"/>
      <c r="H1246" s="55" t="s">
        <v>19</v>
      </c>
      <c r="I1246" s="55" t="s">
        <v>19</v>
      </c>
      <c r="J1246" s="55" t="s">
        <v>19</v>
      </c>
      <c r="K1246" s="55" t="str">
        <f t="shared" si="72"/>
        <v>International</v>
      </c>
      <c r="M1246" s="40"/>
    </row>
    <row r="1247" hidden="1">
      <c r="A1247" s="34"/>
      <c r="B1247" s="53" t="str">
        <f>IFERROR(__xludf.DUMMYFUNCTION("""COMPUTED_VALUE"""),"orthopoxvirus gene 175 (MPOX) [GENEPIO:0101357]                    ")</f>
        <v>orthopoxvirus gene 175 (MPOX) [GENEPIO:0101357]                    </v>
      </c>
      <c r="C1247" s="39" t="str">
        <f>IFERROR(__xludf.DUMMYFUNCTION("""COMPUTED_VALUE"""),"GENEPIO:0101357")</f>
        <v>GENEPIO:0101357</v>
      </c>
      <c r="D1247" s="29"/>
      <c r="H1247" s="55" t="s">
        <v>19</v>
      </c>
      <c r="I1247" s="55" t="s">
        <v>19</v>
      </c>
      <c r="J1247" s="55" t="s">
        <v>19</v>
      </c>
      <c r="K1247" s="55" t="str">
        <f t="shared" si="72"/>
        <v>International</v>
      </c>
      <c r="M1247" s="40"/>
    </row>
    <row r="1248" hidden="1">
      <c r="A1248" s="34"/>
      <c r="B1248" s="53" t="str">
        <f>IFERROR(__xludf.DUMMYFUNCTION("""COMPUTED_VALUE"""),"orthopoxvirus gene 176 (MPOX) [GENEPIO:0101358]                    ")</f>
        <v>orthopoxvirus gene 176 (MPOX) [GENEPIO:0101358]                    </v>
      </c>
      <c r="C1248" s="39" t="str">
        <f>IFERROR(__xludf.DUMMYFUNCTION("""COMPUTED_VALUE"""),"GENEPIO:0101358")</f>
        <v>GENEPIO:0101358</v>
      </c>
      <c r="D1248" s="29"/>
      <c r="H1248" s="55" t="s">
        <v>19</v>
      </c>
      <c r="I1248" s="55" t="s">
        <v>19</v>
      </c>
      <c r="J1248" s="55" t="s">
        <v>19</v>
      </c>
      <c r="K1248" s="55" t="str">
        <f t="shared" si="72"/>
        <v>International</v>
      </c>
      <c r="M1248" s="40"/>
    </row>
    <row r="1249" hidden="1">
      <c r="A1249" s="34"/>
      <c r="B1249" s="53" t="str">
        <f>IFERROR(__xludf.DUMMYFUNCTION("""COMPUTED_VALUE"""),"orthopoxvirus gene 178 (MPOX) [GENEPIO:0101359]                    ")</f>
        <v>orthopoxvirus gene 178 (MPOX) [GENEPIO:0101359]                    </v>
      </c>
      <c r="C1249" s="39" t="str">
        <f>IFERROR(__xludf.DUMMYFUNCTION("""COMPUTED_VALUE"""),"GENEPIO:0101359")</f>
        <v>GENEPIO:0101359</v>
      </c>
      <c r="D1249" s="29"/>
      <c r="H1249" s="55" t="s">
        <v>19</v>
      </c>
      <c r="I1249" s="55" t="s">
        <v>19</v>
      </c>
      <c r="J1249" s="55" t="s">
        <v>19</v>
      </c>
      <c r="K1249" s="55" t="str">
        <f t="shared" si="72"/>
        <v>International</v>
      </c>
      <c r="M1249" s="40"/>
    </row>
    <row r="1250" hidden="1">
      <c r="A1250" s="34"/>
      <c r="B1250" s="53" t="str">
        <f>IFERROR(__xludf.DUMMYFUNCTION("""COMPUTED_VALUE"""),"orthopoxvirus gene 180 (MPOX) [GENEPIO:0101360]                    ")</f>
        <v>orthopoxvirus gene 180 (MPOX) [GENEPIO:0101360]                    </v>
      </c>
      <c r="C1250" s="39" t="str">
        <f>IFERROR(__xludf.DUMMYFUNCTION("""COMPUTED_VALUE"""),"GENEPIO:0101360")</f>
        <v>GENEPIO:0101360</v>
      </c>
      <c r="D1250" s="29"/>
      <c r="H1250" s="55" t="s">
        <v>19</v>
      </c>
      <c r="I1250" s="55" t="s">
        <v>19</v>
      </c>
      <c r="J1250" s="55" t="s">
        <v>19</v>
      </c>
      <c r="K1250" s="55" t="str">
        <f t="shared" si="72"/>
        <v>International</v>
      </c>
      <c r="M1250" s="40"/>
    </row>
    <row r="1251" hidden="1">
      <c r="A1251" s="34"/>
      <c r="B1251" s="53" t="str">
        <f>IFERROR(__xludf.DUMMYFUNCTION("""COMPUTED_VALUE"""),"orthopoxvirus gene 181 (MPOX) [GENEPIO:0101361]                    ")</f>
        <v>orthopoxvirus gene 181 (MPOX) [GENEPIO:0101361]                    </v>
      </c>
      <c r="C1251" s="39" t="str">
        <f>IFERROR(__xludf.DUMMYFUNCTION("""COMPUTED_VALUE"""),"GENEPIO:0101361")</f>
        <v>GENEPIO:0101361</v>
      </c>
      <c r="D1251" s="29"/>
      <c r="H1251" s="55" t="s">
        <v>19</v>
      </c>
      <c r="I1251" s="55" t="s">
        <v>19</v>
      </c>
      <c r="J1251" s="55" t="s">
        <v>19</v>
      </c>
      <c r="K1251" s="55" t="str">
        <f t="shared" si="72"/>
        <v>International</v>
      </c>
      <c r="M1251" s="40"/>
    </row>
    <row r="1252" hidden="1">
      <c r="A1252" s="34"/>
      <c r="B1252" s="53" t="str">
        <f>IFERROR(__xludf.DUMMYFUNCTION("""COMPUTED_VALUE"""),"orthopoxvirus gene 185 (MPOX) [GENEPIO:0101362]                    ")</f>
        <v>orthopoxvirus gene 185 (MPOX) [GENEPIO:0101362]                    </v>
      </c>
      <c r="C1252" s="39" t="str">
        <f>IFERROR(__xludf.DUMMYFUNCTION("""COMPUTED_VALUE"""),"GENEPIO:0101362")</f>
        <v>GENEPIO:0101362</v>
      </c>
      <c r="D1252" s="29"/>
      <c r="H1252" s="55" t="s">
        <v>19</v>
      </c>
      <c r="I1252" s="55" t="s">
        <v>19</v>
      </c>
      <c r="J1252" s="55" t="s">
        <v>19</v>
      </c>
      <c r="K1252" s="55" t="str">
        <f t="shared" si="72"/>
        <v>International</v>
      </c>
      <c r="M1252" s="40"/>
    </row>
    <row r="1253" hidden="1">
      <c r="A1253" s="34"/>
      <c r="B1253" s="53" t="str">
        <f>IFERROR(__xludf.DUMMYFUNCTION("""COMPUTED_VALUE"""),"orthopoxvirus gene 187 (MPOX) [GENEPIO:0101363]                    ")</f>
        <v>orthopoxvirus gene 187 (MPOX) [GENEPIO:0101363]                    </v>
      </c>
      <c r="C1253" s="39" t="str">
        <f>IFERROR(__xludf.DUMMYFUNCTION("""COMPUTED_VALUE"""),"GENEPIO:0101363")</f>
        <v>GENEPIO:0101363</v>
      </c>
      <c r="D1253" s="29"/>
      <c r="H1253" s="55" t="s">
        <v>19</v>
      </c>
      <c r="I1253" s="55" t="s">
        <v>19</v>
      </c>
      <c r="J1253" s="55" t="s">
        <v>19</v>
      </c>
      <c r="K1253" s="55" t="str">
        <f t="shared" si="72"/>
        <v>International</v>
      </c>
      <c r="M1253" s="40"/>
    </row>
    <row r="1254" hidden="1">
      <c r="A1254" s="34"/>
      <c r="B1254" s="53" t="str">
        <f>IFERROR(__xludf.DUMMYFUNCTION("""COMPUTED_VALUE"""),"orthopoxvirus gene 188 (MPOX) [GENEPIO:0101364]                    ")</f>
        <v>orthopoxvirus gene 188 (MPOX) [GENEPIO:0101364]                    </v>
      </c>
      <c r="C1254" s="39" t="str">
        <f>IFERROR(__xludf.DUMMYFUNCTION("""COMPUTED_VALUE"""),"GENEPIO:0101364")</f>
        <v>GENEPIO:0101364</v>
      </c>
      <c r="D1254" s="29"/>
      <c r="H1254" s="55" t="s">
        <v>19</v>
      </c>
      <c r="I1254" s="55" t="s">
        <v>19</v>
      </c>
      <c r="J1254" s="55" t="s">
        <v>19</v>
      </c>
      <c r="K1254" s="55" t="str">
        <f t="shared" si="72"/>
        <v>International</v>
      </c>
      <c r="M1254" s="40"/>
    </row>
    <row r="1255" hidden="1">
      <c r="A1255" s="34"/>
      <c r="B1255" s="53" t="str">
        <f>IFERROR(__xludf.DUMMYFUNCTION("""COMPUTED_VALUE"""),"orthopoxvirus gene 189 (MPOX) [GENEPIO:0101365]                    ")</f>
        <v>orthopoxvirus gene 189 (MPOX) [GENEPIO:0101365]                    </v>
      </c>
      <c r="C1255" s="39" t="str">
        <f>IFERROR(__xludf.DUMMYFUNCTION("""COMPUTED_VALUE"""),"GENEPIO:0101365")</f>
        <v>GENEPIO:0101365</v>
      </c>
      <c r="D1255" s="29"/>
      <c r="H1255" s="55" t="s">
        <v>19</v>
      </c>
      <c r="I1255" s="55" t="s">
        <v>19</v>
      </c>
      <c r="J1255" s="55" t="s">
        <v>19</v>
      </c>
      <c r="K1255" s="55" t="str">
        <f t="shared" si="72"/>
        <v>International</v>
      </c>
      <c r="M1255" s="40"/>
    </row>
    <row r="1256" hidden="1">
      <c r="A1256" s="34"/>
      <c r="B1256" s="53" t="str">
        <f>IFERROR(__xludf.DUMMYFUNCTION("""COMPUTED_VALUE"""),"orthopoxvirus gene 190 (MPOX) [GENEPIO:0101366]                    ")</f>
        <v>orthopoxvirus gene 190 (MPOX) [GENEPIO:0101366]                    </v>
      </c>
      <c r="C1256" s="39" t="str">
        <f>IFERROR(__xludf.DUMMYFUNCTION("""COMPUTED_VALUE"""),"GENEPIO:0101366")</f>
        <v>GENEPIO:0101366</v>
      </c>
      <c r="D1256" s="29"/>
      <c r="H1256" s="55" t="s">
        <v>19</v>
      </c>
      <c r="I1256" s="55" t="s">
        <v>19</v>
      </c>
      <c r="J1256" s="55" t="s">
        <v>19</v>
      </c>
      <c r="K1256" s="55" t="str">
        <f t="shared" si="72"/>
        <v>International</v>
      </c>
      <c r="M1256" s="40"/>
    </row>
    <row r="1257" hidden="1">
      <c r="A1257" s="34"/>
      <c r="B1257" s="53" t="str">
        <f>IFERROR(__xludf.DUMMYFUNCTION("""COMPUTED_VALUE"""),"orthopoxvirus gene 191 (MPOX) [GENEPIO:0101367]                    ")</f>
        <v>orthopoxvirus gene 191 (MPOX) [GENEPIO:0101367]                    </v>
      </c>
      <c r="C1257" s="39" t="str">
        <f>IFERROR(__xludf.DUMMYFUNCTION("""COMPUTED_VALUE"""),"GENEPIO:0101367")</f>
        <v>GENEPIO:0101367</v>
      </c>
      <c r="D1257" s="29"/>
      <c r="H1257" s="55" t="s">
        <v>19</v>
      </c>
      <c r="I1257" s="55" t="s">
        <v>19</v>
      </c>
      <c r="J1257" s="55" t="s">
        <v>19</v>
      </c>
      <c r="K1257" s="55" t="str">
        <f t="shared" si="72"/>
        <v>International</v>
      </c>
      <c r="M1257" s="40"/>
    </row>
    <row r="1258" hidden="1">
      <c r="A1258" s="34"/>
      <c r="B1258" s="53" t="str">
        <f>IFERROR(__xludf.DUMMYFUNCTION("""COMPUTED_VALUE"""),"orthopoxvirus gene 192 (MPOX) [GENEPIO:0101368]                    ")</f>
        <v>orthopoxvirus gene 192 (MPOX) [GENEPIO:0101368]                    </v>
      </c>
      <c r="C1258" s="39" t="str">
        <f>IFERROR(__xludf.DUMMYFUNCTION("""COMPUTED_VALUE"""),"GENEPIO:0101368")</f>
        <v>GENEPIO:0101368</v>
      </c>
      <c r="D1258" s="29"/>
      <c r="H1258" s="55" t="s">
        <v>19</v>
      </c>
      <c r="I1258" s="55" t="s">
        <v>19</v>
      </c>
      <c r="J1258" s="55" t="s">
        <v>19</v>
      </c>
      <c r="K1258" s="55" t="str">
        <f t="shared" si="72"/>
        <v>International</v>
      </c>
      <c r="M1258" s="40"/>
    </row>
    <row r="1259" hidden="1">
      <c r="A1259" s="34"/>
      <c r="B1259" s="53" t="str">
        <f>IFERROR(__xludf.DUMMYFUNCTION("""COMPUTED_VALUE"""),"orthopoxvirus gene 193 (MPOX) [GENEPIO:0101369]                    ")</f>
        <v>orthopoxvirus gene 193 (MPOX) [GENEPIO:0101369]                    </v>
      </c>
      <c r="C1259" s="39" t="str">
        <f>IFERROR(__xludf.DUMMYFUNCTION("""COMPUTED_VALUE"""),"GENEPIO:0101369")</f>
        <v>GENEPIO:0101369</v>
      </c>
      <c r="D1259" s="29"/>
      <c r="H1259" s="55" t="s">
        <v>19</v>
      </c>
      <c r="I1259" s="55" t="s">
        <v>19</v>
      </c>
      <c r="J1259" s="55" t="s">
        <v>19</v>
      </c>
      <c r="K1259" s="55" t="str">
        <f t="shared" si="72"/>
        <v>International</v>
      </c>
      <c r="M1259" s="40"/>
    </row>
    <row r="1260" hidden="1">
      <c r="A1260" s="34"/>
      <c r="B1260" s="53" t="str">
        <f>IFERROR(__xludf.DUMMYFUNCTION("""COMPUTED_VALUE"""),"orthopoxvirus gene 195 (MPOX) [GENEPIO:0101370]                    ")</f>
        <v>orthopoxvirus gene 195 (MPOX) [GENEPIO:0101370]                    </v>
      </c>
      <c r="C1260" s="39" t="str">
        <f>IFERROR(__xludf.DUMMYFUNCTION("""COMPUTED_VALUE"""),"GENEPIO:0101370")</f>
        <v>GENEPIO:0101370</v>
      </c>
      <c r="D1260" s="29"/>
      <c r="H1260" s="55" t="s">
        <v>19</v>
      </c>
      <c r="I1260" s="55" t="s">
        <v>19</v>
      </c>
      <c r="J1260" s="55" t="s">
        <v>19</v>
      </c>
      <c r="K1260" s="55" t="str">
        <f t="shared" si="72"/>
        <v>International</v>
      </c>
      <c r="M1260" s="40"/>
    </row>
    <row r="1261" hidden="1">
      <c r="A1261" s="34"/>
      <c r="B1261" s="53" t="str">
        <f>IFERROR(__xludf.DUMMYFUNCTION("""COMPUTED_VALUE"""),"orthopoxvirus gene 197 (MPOX) [GENEPIO:0101371]                    ")</f>
        <v>orthopoxvirus gene 197 (MPOX) [GENEPIO:0101371]                    </v>
      </c>
      <c r="C1261" s="39" t="str">
        <f>IFERROR(__xludf.DUMMYFUNCTION("""COMPUTED_VALUE"""),"GENEPIO:0101371")</f>
        <v>GENEPIO:0101371</v>
      </c>
      <c r="D1261" s="29"/>
      <c r="H1261" s="55" t="s">
        <v>19</v>
      </c>
      <c r="I1261" s="55" t="s">
        <v>19</v>
      </c>
      <c r="J1261" s="55" t="s">
        <v>19</v>
      </c>
      <c r="K1261" s="55" t="str">
        <f t="shared" si="72"/>
        <v>International</v>
      </c>
      <c r="M1261" s="40"/>
    </row>
    <row r="1262" hidden="1">
      <c r="A1262" s="34"/>
      <c r="B1262" s="53" t="str">
        <f>IFERROR(__xludf.DUMMYFUNCTION("""COMPUTED_VALUE"""),"orthopoxvirus gene 198 (MPOX) [GENEPIO:0101372]                    ")</f>
        <v>orthopoxvirus gene 198 (MPOX) [GENEPIO:0101372]                    </v>
      </c>
      <c r="C1262" s="39" t="str">
        <f>IFERROR(__xludf.DUMMYFUNCTION("""COMPUTED_VALUE"""),"GENEPIO:0101372")</f>
        <v>GENEPIO:0101372</v>
      </c>
      <c r="D1262" s="29"/>
      <c r="H1262" s="55" t="s">
        <v>19</v>
      </c>
      <c r="I1262" s="55" t="s">
        <v>19</v>
      </c>
      <c r="J1262" s="55" t="s">
        <v>19</v>
      </c>
      <c r="K1262" s="55" t="str">
        <f t="shared" si="72"/>
        <v>International</v>
      </c>
      <c r="M1262" s="40"/>
    </row>
    <row r="1263" hidden="1">
      <c r="A1263" s="34"/>
      <c r="B1263" s="53" t="str">
        <f>IFERROR(__xludf.DUMMYFUNCTION("""COMPUTED_VALUE"""),"orthopoxvirus gene 199 (MPOX) [GENEPIO:0101373]                    ")</f>
        <v>orthopoxvirus gene 199 (MPOX) [GENEPIO:0101373]                    </v>
      </c>
      <c r="C1263" s="39" t="str">
        <f>IFERROR(__xludf.DUMMYFUNCTION("""COMPUTED_VALUE"""),"GENEPIO:0101373")</f>
        <v>GENEPIO:0101373</v>
      </c>
      <c r="D1263" s="29"/>
      <c r="H1263" s="55" t="s">
        <v>19</v>
      </c>
      <c r="I1263" s="55" t="s">
        <v>19</v>
      </c>
      <c r="J1263" s="55" t="s">
        <v>19</v>
      </c>
      <c r="K1263" s="55" t="str">
        <f t="shared" si="72"/>
        <v>International</v>
      </c>
      <c r="M1263" s="40"/>
    </row>
    <row r="1264" hidden="1">
      <c r="A1264" s="34"/>
      <c r="B1264" s="53" t="str">
        <f>IFERROR(__xludf.DUMMYFUNCTION("""COMPUTED_VALUE"""),"orthopoxvirus gene 200 (MPOX) [GENEPIO:0101374]                    ")</f>
        <v>orthopoxvirus gene 200 (MPOX) [GENEPIO:0101374]                    </v>
      </c>
      <c r="C1264" s="39" t="str">
        <f>IFERROR(__xludf.DUMMYFUNCTION("""COMPUTED_VALUE"""),"GENEPIO:0101374")</f>
        <v>GENEPIO:0101374</v>
      </c>
      <c r="D1264" s="29"/>
      <c r="H1264" s="55" t="s">
        <v>19</v>
      </c>
      <c r="I1264" s="55" t="s">
        <v>19</v>
      </c>
      <c r="J1264" s="55" t="s">
        <v>19</v>
      </c>
      <c r="K1264" s="55" t="str">
        <f t="shared" si="72"/>
        <v>International</v>
      </c>
      <c r="M1264" s="40"/>
    </row>
    <row r="1265" hidden="1">
      <c r="A1265" s="34"/>
      <c r="B1265" s="53" t="str">
        <f>IFERROR(__xludf.DUMMYFUNCTION("""COMPUTED_VALUE"""),"orthopoxvirus gene 204 (MPOX) [GENEPIO:0101375]                    ")</f>
        <v>orthopoxvirus gene 204 (MPOX) [GENEPIO:0101375]                    </v>
      </c>
      <c r="C1265" s="39" t="str">
        <f>IFERROR(__xludf.DUMMYFUNCTION("""COMPUTED_VALUE"""),"GENEPIO:0101375")</f>
        <v>GENEPIO:0101375</v>
      </c>
      <c r="D1265" s="29"/>
      <c r="H1265" s="55"/>
      <c r="I1265" s="55"/>
      <c r="J1265" s="55"/>
      <c r="K1265" s="59" t="s">
        <v>27</v>
      </c>
      <c r="M1265" s="40"/>
    </row>
    <row r="1266" hidden="1">
      <c r="A1266" s="34"/>
      <c r="B1266" s="53" t="str">
        <f>IFERROR(__xludf.DUMMYFUNCTION("""COMPUTED_VALUE"""),"orthopoxvirus gene 205 (MPOX) [GENEPIO:0101376]                    ")</f>
        <v>orthopoxvirus gene 205 (MPOX) [GENEPIO:0101376]                    </v>
      </c>
      <c r="C1266" s="39" t="str">
        <f>IFERROR(__xludf.DUMMYFUNCTION("""COMPUTED_VALUE"""),"GENEPIO:0101376")</f>
        <v>GENEPIO:0101376</v>
      </c>
      <c r="D1266" s="29"/>
      <c r="H1266" s="55" t="s">
        <v>19</v>
      </c>
      <c r="I1266" s="55" t="s">
        <v>19</v>
      </c>
      <c r="J1266" s="55" t="s">
        <v>19</v>
      </c>
      <c r="K1266" s="55" t="str">
        <f t="shared" ref="K1266:K1286" si="73">K1265</f>
        <v>International</v>
      </c>
      <c r="M1266" s="40"/>
    </row>
    <row r="1267" hidden="1">
      <c r="A1267" s="34"/>
      <c r="B1267" s="53" t="str">
        <f>IFERROR(__xludf.DUMMYFUNCTION("""COMPUTED_VALUE"""),"orthopoxvirus gene 208 (MPOX) [GENEPIO:0101377]                    ")</f>
        <v>orthopoxvirus gene 208 (MPOX) [GENEPIO:0101377]                    </v>
      </c>
      <c r="C1267" s="39" t="str">
        <f>IFERROR(__xludf.DUMMYFUNCTION("""COMPUTED_VALUE"""),"GENEPIO:0101377")</f>
        <v>GENEPIO:0101377</v>
      </c>
      <c r="D1267" s="29"/>
      <c r="H1267" s="55" t="s">
        <v>19</v>
      </c>
      <c r="I1267" s="55" t="s">
        <v>19</v>
      </c>
      <c r="J1267" s="55" t="s">
        <v>19</v>
      </c>
      <c r="K1267" s="55" t="str">
        <f t="shared" si="73"/>
        <v>International</v>
      </c>
      <c r="M1267" s="40"/>
    </row>
    <row r="1268" hidden="1">
      <c r="A1268" s="34"/>
      <c r="B1268" s="53" t="str">
        <f>IFERROR(__xludf.DUMMYFUNCTION("""COMPUTED_VALUE"""),"orthopoxvirus gene 209 (MPOX) [GENEPIO:0101378]                    ")</f>
        <v>orthopoxvirus gene 209 (MPOX) [GENEPIO:0101378]                    </v>
      </c>
      <c r="C1268" s="39" t="str">
        <f>IFERROR(__xludf.DUMMYFUNCTION("""COMPUTED_VALUE"""),"GENEPIO:0101378")</f>
        <v>GENEPIO:0101378</v>
      </c>
      <c r="D1268" s="29"/>
      <c r="H1268" s="55" t="s">
        <v>19</v>
      </c>
      <c r="I1268" s="55" t="s">
        <v>19</v>
      </c>
      <c r="J1268" s="55" t="s">
        <v>19</v>
      </c>
      <c r="K1268" s="55" t="str">
        <f t="shared" si="73"/>
        <v>International</v>
      </c>
      <c r="M1268" s="40"/>
    </row>
    <row r="1269" hidden="1">
      <c r="A1269" s="34"/>
      <c r="B1269" s="53" t="str">
        <f>IFERROR(__xludf.DUMMYFUNCTION("""COMPUTED_VALUE"""),"orthopoxvirus gene 210 (MPOX) [GENEPIO:0101379]                    ")</f>
        <v>orthopoxvirus gene 210 (MPOX) [GENEPIO:0101379]                    </v>
      </c>
      <c r="C1269" s="39" t="str">
        <f>IFERROR(__xludf.DUMMYFUNCTION("""COMPUTED_VALUE"""),"GENEPIO:0101379")</f>
        <v>GENEPIO:0101379</v>
      </c>
      <c r="D1269" s="29"/>
      <c r="H1269" s="55" t="s">
        <v>19</v>
      </c>
      <c r="I1269" s="55" t="s">
        <v>19</v>
      </c>
      <c r="J1269" s="55" t="s">
        <v>19</v>
      </c>
      <c r="K1269" s="55" t="str">
        <f t="shared" si="73"/>
        <v>International</v>
      </c>
      <c r="M1269" s="40"/>
    </row>
    <row r="1270" hidden="1">
      <c r="A1270" s="34"/>
      <c r="B1270" s="53" t="str">
        <f>IFERROR(__xludf.DUMMYFUNCTION("""COMPUTED_VALUE"""),"orthopoxvirus gene 005 (MPOX) [GENEPIO:0101380]                    ")</f>
        <v>orthopoxvirus gene 005 (MPOX) [GENEPIO:0101380]                    </v>
      </c>
      <c r="C1270" s="39" t="str">
        <f>IFERROR(__xludf.DUMMYFUNCTION("""COMPUTED_VALUE"""),"GENEPIO:0101380")</f>
        <v>GENEPIO:0101380</v>
      </c>
      <c r="D1270" s="29"/>
      <c r="H1270" s="55" t="s">
        <v>19</v>
      </c>
      <c r="I1270" s="55" t="s">
        <v>19</v>
      </c>
      <c r="J1270" s="55" t="s">
        <v>19</v>
      </c>
      <c r="K1270" s="55" t="str">
        <f t="shared" si="73"/>
        <v>International</v>
      </c>
      <c r="M1270" s="40"/>
    </row>
    <row r="1271" hidden="1">
      <c r="A1271" s="34"/>
      <c r="B1271" s="53" t="str">
        <f>IFERROR(__xludf.DUMMYFUNCTION("""COMPUTED_VALUE"""),"orthopoxvirus gene 016 (MPOX) [GENEPIO:0101381]                    ")</f>
        <v>orthopoxvirus gene 016 (MPOX) [GENEPIO:0101381]                    </v>
      </c>
      <c r="C1271" s="39" t="str">
        <f>IFERROR(__xludf.DUMMYFUNCTION("""COMPUTED_VALUE"""),"GENEPIO:0101381")</f>
        <v>GENEPIO:0101381</v>
      </c>
      <c r="D1271" s="29"/>
      <c r="H1271" s="55" t="s">
        <v>19</v>
      </c>
      <c r="I1271" s="55" t="s">
        <v>19</v>
      </c>
      <c r="J1271" s="55" t="s">
        <v>19</v>
      </c>
      <c r="K1271" s="55" t="str">
        <f t="shared" si="73"/>
        <v>International</v>
      </c>
      <c r="M1271" s="40"/>
    </row>
    <row r="1272" hidden="1">
      <c r="A1272" s="34"/>
      <c r="B1272" s="53" t="str">
        <f>IFERROR(__xludf.DUMMYFUNCTION("""COMPUTED_VALUE"""),"                    ")</f>
        <v>                    </v>
      </c>
      <c r="C1272" s="34"/>
      <c r="D1272" s="29"/>
      <c r="H1272" s="55" t="s">
        <v>19</v>
      </c>
      <c r="I1272" s="55" t="s">
        <v>19</v>
      </c>
      <c r="J1272" s="55" t="s">
        <v>19</v>
      </c>
      <c r="K1272" s="55" t="str">
        <f t="shared" si="73"/>
        <v>International</v>
      </c>
      <c r="M1272" s="58"/>
    </row>
    <row r="1273" hidden="1">
      <c r="A1273" s="34" t="str">
        <f>IFERROR(__xludf.DUMMYFUNCTION("""COMPUTED_VALUE"""),"assay target name menu")</f>
        <v>assay target name menu</v>
      </c>
      <c r="B1273" s="53" t="str">
        <f>IFERROR(__xludf.DUMMYFUNCTION("""COMPUTED_VALUE"""),"                    ")</f>
        <v>                    </v>
      </c>
      <c r="C1273" s="34"/>
      <c r="D1273" s="29"/>
      <c r="E1273" s="34"/>
      <c r="F1273" s="34"/>
      <c r="G1273" s="34"/>
      <c r="H1273" s="55" t="s">
        <v>19</v>
      </c>
      <c r="I1273" s="55" t="s">
        <v>19</v>
      </c>
      <c r="J1273" s="55" t="s">
        <v>19</v>
      </c>
      <c r="K1273" s="55" t="str">
        <f t="shared" si="73"/>
        <v>International</v>
      </c>
      <c r="L1273" s="34" t="str">
        <f>LEFT(A1273, LEN(A1273) - 5)
</f>
        <v>assay target name</v>
      </c>
      <c r="M1273" s="34" t="str">
        <f>VLOOKUP(L1273,'Field Reference Guide'!$B$6:$N$220,13,false)</f>
        <v>Mpox_international</v>
      </c>
    </row>
    <row r="1274" hidden="1">
      <c r="A1274" s="34"/>
      <c r="B1274" s="53" t="str">
        <f>IFERROR(__xludf.DUMMYFUNCTION("""COMPUTED_VALUE"""),"MPX (orf B6R)                    ")</f>
        <v>MPX (orf B6R)                    </v>
      </c>
      <c r="C1274" s="34" t="str">
        <f>IFERROR(__xludf.DUMMYFUNCTION("""COMPUTED_VALUE"""),"GENEPIO:0100505")</f>
        <v>GENEPIO:0100505</v>
      </c>
      <c r="D1274" s="29"/>
      <c r="H1274" s="55" t="s">
        <v>19</v>
      </c>
      <c r="I1274" s="55" t="s">
        <v>19</v>
      </c>
      <c r="J1274" s="55" t="s">
        <v>19</v>
      </c>
      <c r="K1274" s="55" t="str">
        <f t="shared" si="73"/>
        <v>International</v>
      </c>
      <c r="M1274" s="57" t="s">
        <v>28</v>
      </c>
    </row>
    <row r="1275" hidden="1">
      <c r="A1275" s="34"/>
      <c r="B1275" s="53" t="str">
        <f>IFERROR(__xludf.DUMMYFUNCTION("""COMPUTED_VALUE"""),"OPV (orf 17L)                    ")</f>
        <v>OPV (orf 17L)                    </v>
      </c>
      <c r="C1275" s="34" t="str">
        <f>IFERROR(__xludf.DUMMYFUNCTION("""COMPUTED_VALUE"""),"GENEPIO:0100506")</f>
        <v>GENEPIO:0100506</v>
      </c>
      <c r="D1275" s="29"/>
      <c r="H1275" s="55" t="s">
        <v>19</v>
      </c>
      <c r="I1275" s="55" t="s">
        <v>19</v>
      </c>
      <c r="J1275" s="55" t="s">
        <v>19</v>
      </c>
      <c r="K1275" s="55" t="str">
        <f t="shared" si="73"/>
        <v>International</v>
      </c>
      <c r="M1275" s="40"/>
    </row>
    <row r="1276" hidden="1">
      <c r="A1276" s="34"/>
      <c r="B1276" s="53" t="str">
        <f>IFERROR(__xludf.DUMMYFUNCTION("""COMPUTED_VALUE"""),"OPHA (orf B2R)                    ")</f>
        <v>OPHA (orf B2R)                    </v>
      </c>
      <c r="C1276" s="34" t="str">
        <f>IFERROR(__xludf.DUMMYFUNCTION("""COMPUTED_VALUE"""),"GENEPIO:0100507")</f>
        <v>GENEPIO:0100507</v>
      </c>
      <c r="D1276" s="29"/>
      <c r="H1276" s="55" t="s">
        <v>19</v>
      </c>
      <c r="I1276" s="55" t="s">
        <v>19</v>
      </c>
      <c r="J1276" s="55" t="s">
        <v>19</v>
      </c>
      <c r="K1276" s="55" t="str">
        <f t="shared" si="73"/>
        <v>International</v>
      </c>
      <c r="M1276" s="40"/>
    </row>
    <row r="1277" hidden="1">
      <c r="A1277" s="34"/>
      <c r="B1277" s="53" t="str">
        <f>IFERROR(__xludf.DUMMYFUNCTION("""COMPUTED_VALUE"""),"G2R_G (TNFR)                    ")</f>
        <v>G2R_G (TNFR)                    </v>
      </c>
      <c r="C1277" s="34" t="str">
        <f>IFERROR(__xludf.DUMMYFUNCTION("""COMPUTED_VALUE"""),"GENEPIO:0100510")</f>
        <v>GENEPIO:0100510</v>
      </c>
      <c r="D1277" s="29"/>
      <c r="H1277" s="55" t="s">
        <v>19</v>
      </c>
      <c r="I1277" s="55" t="s">
        <v>19</v>
      </c>
      <c r="J1277" s="55" t="s">
        <v>19</v>
      </c>
      <c r="K1277" s="55" t="str">
        <f t="shared" si="73"/>
        <v>International</v>
      </c>
      <c r="M1277" s="40"/>
    </row>
    <row r="1278" hidden="1">
      <c r="A1278" s="34"/>
      <c r="B1278" s="53" t="str">
        <f>IFERROR(__xludf.DUMMYFUNCTION("""COMPUTED_VALUE"""),"G2R_G (WA)                    ")</f>
        <v>G2R_G (WA)                    </v>
      </c>
      <c r="C1278" s="34"/>
      <c r="D1278" s="29" t="str">
        <f>IFERROR(__xludf.DUMMYFUNCTION("""COMPUTED_VALUE"""),"")</f>
        <v/>
      </c>
      <c r="H1278" s="55" t="s">
        <v>19</v>
      </c>
      <c r="I1278" s="55" t="s">
        <v>19</v>
      </c>
      <c r="J1278" s="55" t="s">
        <v>19</v>
      </c>
      <c r="K1278" s="55" t="str">
        <f t="shared" si="73"/>
        <v>International</v>
      </c>
      <c r="M1278" s="40"/>
    </row>
    <row r="1279" hidden="1">
      <c r="A1279" s="34"/>
      <c r="B1279" s="53" t="str">
        <f>IFERROR(__xludf.DUMMYFUNCTION("""COMPUTED_VALUE"""),"RNAse P gene (RNP)                    ")</f>
        <v>RNAse P gene (RNP)                    </v>
      </c>
      <c r="C1279" s="34" t="str">
        <f>IFERROR(__xludf.DUMMYFUNCTION("""COMPUTED_VALUE"""),"GENEPIO:0100508")</f>
        <v>GENEPIO:0100508</v>
      </c>
      <c r="D1279" s="29"/>
      <c r="H1279" s="55" t="s">
        <v>19</v>
      </c>
      <c r="I1279" s="55" t="s">
        <v>19</v>
      </c>
      <c r="J1279" s="55" t="s">
        <v>19</v>
      </c>
      <c r="K1279" s="55" t="str">
        <f t="shared" si="73"/>
        <v>International</v>
      </c>
      <c r="M1279" s="40"/>
    </row>
    <row r="1280" hidden="1">
      <c r="A1280" s="34" t="str">
        <f>IFERROR(__xludf.DUMMYFUNCTION("""COMPUTED_VALUE"""),"assay target name international menu")</f>
        <v>assay target name international menu</v>
      </c>
      <c r="B1280" s="53" t="str">
        <f>IFERROR(__xludf.DUMMYFUNCTION("""COMPUTED_VALUE"""),"                    ")</f>
        <v>                    </v>
      </c>
      <c r="C1280" s="34"/>
      <c r="D1280" s="29"/>
      <c r="E1280" s="34"/>
      <c r="F1280" s="34"/>
      <c r="G1280" s="34"/>
      <c r="H1280" s="55"/>
      <c r="I1280" s="55"/>
      <c r="J1280" s="55"/>
      <c r="K1280" s="55" t="str">
        <f t="shared" si="73"/>
        <v>International</v>
      </c>
      <c r="L1280" s="34" t="str">
        <f>LEFT(A1280, LEN(A1280) - 5)
</f>
        <v>assay target name international</v>
      </c>
      <c r="M1280" s="34" t="str">
        <f>VLOOKUP(L1280,'Field Reference Guide'!$B$6:$N$220,13,false)</f>
        <v>#N/A</v>
      </c>
    </row>
    <row r="1281" hidden="1">
      <c r="A1281" s="34"/>
      <c r="B1281" s="53" t="str">
        <f>IFERROR(__xludf.DUMMYFUNCTION("""COMPUTED_VALUE"""),"MPX (orf B6R) [GENEPIO:0100505]                    ")</f>
        <v>MPX (orf B6R) [GENEPIO:0100505]                    </v>
      </c>
      <c r="C1281" s="34" t="str">
        <f>IFERROR(__xludf.DUMMYFUNCTION("""COMPUTED_VALUE"""),"GENEPIO:0100505")</f>
        <v>GENEPIO:0100505</v>
      </c>
      <c r="D1281" s="29"/>
      <c r="H1281" s="55" t="s">
        <v>19</v>
      </c>
      <c r="I1281" s="55" t="s">
        <v>19</v>
      </c>
      <c r="J1281" s="55" t="s">
        <v>19</v>
      </c>
      <c r="K1281" s="55" t="str">
        <f t="shared" si="73"/>
        <v>International</v>
      </c>
      <c r="M1281" s="57" t="s">
        <v>30</v>
      </c>
    </row>
    <row r="1282" hidden="1">
      <c r="A1282" s="34"/>
      <c r="B1282" s="53" t="str">
        <f>IFERROR(__xludf.DUMMYFUNCTION("""COMPUTED_VALUE"""),"OPV (orf 17L) [GENEPIO:0100506]                    ")</f>
        <v>OPV (orf 17L) [GENEPIO:0100506]                    </v>
      </c>
      <c r="C1282" s="34" t="str">
        <f>IFERROR(__xludf.DUMMYFUNCTION("""COMPUTED_VALUE"""),"GENEPIO:0100506")</f>
        <v>GENEPIO:0100506</v>
      </c>
      <c r="D1282" s="29"/>
      <c r="H1282" s="55" t="s">
        <v>19</v>
      </c>
      <c r="I1282" s="55" t="s">
        <v>19</v>
      </c>
      <c r="J1282" s="55" t="s">
        <v>19</v>
      </c>
      <c r="K1282" s="55" t="str">
        <f t="shared" si="73"/>
        <v>International</v>
      </c>
      <c r="M1282" s="40"/>
    </row>
    <row r="1283" hidden="1">
      <c r="A1283" s="34"/>
      <c r="B1283" s="53" t="str">
        <f>IFERROR(__xludf.DUMMYFUNCTION("""COMPUTED_VALUE"""),"OPHA (orf B2R) [GENEPIO:0100507]                    ")</f>
        <v>OPHA (orf B2R) [GENEPIO:0100507]                    </v>
      </c>
      <c r="C1283" s="34" t="str">
        <f>IFERROR(__xludf.DUMMYFUNCTION("""COMPUTED_VALUE"""),"GENEPIO:0100507")</f>
        <v>GENEPIO:0100507</v>
      </c>
      <c r="D1283" s="29"/>
      <c r="H1283" s="55" t="s">
        <v>19</v>
      </c>
      <c r="I1283" s="55" t="s">
        <v>19</v>
      </c>
      <c r="J1283" s="55" t="s">
        <v>19</v>
      </c>
      <c r="K1283" s="55" t="str">
        <f t="shared" si="73"/>
        <v>International</v>
      </c>
      <c r="M1283" s="40"/>
    </row>
    <row r="1284" hidden="1">
      <c r="A1284" s="34"/>
      <c r="B1284" s="53" t="str">
        <f>IFERROR(__xludf.DUMMYFUNCTION("""COMPUTED_VALUE"""),"G2R_G (TNFR) [GENEPIO:0100510]                    ")</f>
        <v>G2R_G (TNFR) [GENEPIO:0100510]                    </v>
      </c>
      <c r="C1284" s="34" t="str">
        <f>IFERROR(__xludf.DUMMYFUNCTION("""COMPUTED_VALUE"""),"GENEPIO:0100510")</f>
        <v>GENEPIO:0100510</v>
      </c>
      <c r="D1284" s="29"/>
      <c r="H1284" s="55" t="s">
        <v>19</v>
      </c>
      <c r="I1284" s="55" t="s">
        <v>19</v>
      </c>
      <c r="J1284" s="55" t="s">
        <v>19</v>
      </c>
      <c r="K1284" s="55" t="str">
        <f t="shared" si="73"/>
        <v>International</v>
      </c>
      <c r="M1284" s="40"/>
    </row>
    <row r="1285" hidden="1">
      <c r="A1285" s="34"/>
      <c r="B1285" s="53" t="str">
        <f>IFERROR(__xludf.DUMMYFUNCTION("""COMPUTED_VALUE"""),"G2R_G (WA)                    ")</f>
        <v>G2R_G (WA)                    </v>
      </c>
      <c r="C1285" s="34"/>
      <c r="D1285" s="29" t="str">
        <f>IFERROR(__xludf.DUMMYFUNCTION("""COMPUTED_VALUE"""),"")</f>
        <v/>
      </c>
      <c r="H1285" s="55" t="s">
        <v>19</v>
      </c>
      <c r="I1285" s="55" t="s">
        <v>19</v>
      </c>
      <c r="J1285" s="55" t="s">
        <v>19</v>
      </c>
      <c r="K1285" s="55" t="str">
        <f t="shared" si="73"/>
        <v>International</v>
      </c>
      <c r="M1285" s="40"/>
    </row>
    <row r="1286" hidden="1">
      <c r="A1286" s="34"/>
      <c r="B1286" s="53" t="str">
        <f>IFERROR(__xludf.DUMMYFUNCTION("""COMPUTED_VALUE"""),"RNAse P gene (RNP) [GENEPIO:0100508]                    ")</f>
        <v>RNAse P gene (RNP) [GENEPIO:0100508]                    </v>
      </c>
      <c r="C1286" s="34" t="str">
        <f>IFERROR(__xludf.DUMMYFUNCTION("""COMPUTED_VALUE"""),"GENEPIO:0100508")</f>
        <v>GENEPIO:0100508</v>
      </c>
      <c r="D1286" s="29"/>
      <c r="H1286" s="55" t="s">
        <v>19</v>
      </c>
      <c r="I1286" s="55" t="s">
        <v>19</v>
      </c>
      <c r="J1286" s="55" t="s">
        <v>19</v>
      </c>
      <c r="K1286" s="55" t="str">
        <f t="shared" si="73"/>
        <v>International</v>
      </c>
      <c r="M1286" s="40"/>
    </row>
    <row r="1287">
      <c r="A1287" s="34" t="str">
        <f>IFERROR(__xludf.DUMMYFUNCTION("""COMPUTED_VALUE"""),"geo_loc_name (country) menu")</f>
        <v>geo_loc_name (country) menu</v>
      </c>
      <c r="B1287" s="53" t="str">
        <f>IFERROR(__xludf.DUMMYFUNCTION("""COMPUTED_VALUE"""),"                    ")</f>
        <v>                    </v>
      </c>
      <c r="C1287" s="34"/>
      <c r="D1287" s="29" t="str">
        <f>IFERROR(__xludf.DUMMYFUNCTION("""COMPUTED_VALUE"""),"")</f>
        <v/>
      </c>
      <c r="E1287" s="34"/>
      <c r="F1287" s="34"/>
      <c r="G1287" s="34"/>
      <c r="H1287" s="55" t="s">
        <v>19</v>
      </c>
      <c r="I1287" s="55" t="s">
        <v>19</v>
      </c>
      <c r="J1287" s="55" t="s">
        <v>19</v>
      </c>
      <c r="K1287" s="35" t="s">
        <v>29</v>
      </c>
      <c r="L1287" s="34" t="str">
        <f>LEFT(A1287, LEN(A1287) - 5)
</f>
        <v>geo_loc_name (country)</v>
      </c>
      <c r="M1287" s="34" t="str">
        <f>VLOOKUP(L1287,'Field Reference Guide'!$B$6:$N$220,13,false)</f>
        <v>Mpox</v>
      </c>
    </row>
    <row r="1288">
      <c r="A1288" s="34"/>
      <c r="B1288" s="53" t="str">
        <f>IFERROR(__xludf.DUMMYFUNCTION("""COMPUTED_VALUE"""),"Afghanistan                    ")</f>
        <v>Afghanistan                    </v>
      </c>
      <c r="C1288" s="34" t="str">
        <f>IFERROR(__xludf.DUMMYFUNCTION("""COMPUTED_VALUE"""),"GAZ:00006882")</f>
        <v>GAZ:00006882</v>
      </c>
      <c r="D1288"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H1288" s="55" t="s">
        <v>19</v>
      </c>
      <c r="I1288" s="55" t="s">
        <v>19</v>
      </c>
      <c r="J1288" s="55" t="s">
        <v>19</v>
      </c>
      <c r="K1288" s="55" t="str">
        <f t="shared" ref="K1288:K1441" si="74">K1287</f>
        <v>MPox</v>
      </c>
      <c r="M1288" s="57" t="s">
        <v>26</v>
      </c>
    </row>
    <row r="1289">
      <c r="A1289" s="34"/>
      <c r="B1289" s="53" t="str">
        <f>IFERROR(__xludf.DUMMYFUNCTION("""COMPUTED_VALUE"""),"Albania                    ")</f>
        <v>Albania                    </v>
      </c>
      <c r="C1289" s="34" t="str">
        <f>IFERROR(__xludf.DUMMYFUNCTION("""COMPUTED_VALUE"""),"GAZ:00002953")</f>
        <v>GAZ:00002953</v>
      </c>
      <c r="D1289"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H1289" s="55" t="s">
        <v>19</v>
      </c>
      <c r="I1289" s="55" t="s">
        <v>19</v>
      </c>
      <c r="J1289" s="55" t="s">
        <v>19</v>
      </c>
      <c r="K1289" s="55" t="str">
        <f t="shared" si="74"/>
        <v>MPox</v>
      </c>
      <c r="M1289" s="40"/>
    </row>
    <row r="1290">
      <c r="A1290" s="34"/>
      <c r="B1290" s="53" t="str">
        <f>IFERROR(__xludf.DUMMYFUNCTION("""COMPUTED_VALUE"""),"Algeria                    ")</f>
        <v>Algeria                    </v>
      </c>
      <c r="C1290" s="34" t="str">
        <f>IFERROR(__xludf.DUMMYFUNCTION("""COMPUTED_VALUE"""),"GAZ:00000563")</f>
        <v>GAZ:00000563</v>
      </c>
      <c r="D1290"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H1290" s="55" t="s">
        <v>19</v>
      </c>
      <c r="I1290" s="55" t="s">
        <v>19</v>
      </c>
      <c r="J1290" s="55" t="s">
        <v>19</v>
      </c>
      <c r="K1290" s="55" t="str">
        <f t="shared" si="74"/>
        <v>MPox</v>
      </c>
      <c r="M1290" s="40"/>
    </row>
    <row r="1291">
      <c r="A1291" s="34"/>
      <c r="B1291" s="53" t="str">
        <f>IFERROR(__xludf.DUMMYFUNCTION("""COMPUTED_VALUE"""),"American Samoa                    ")</f>
        <v>American Samoa                    </v>
      </c>
      <c r="C1291" s="34" t="str">
        <f>IFERROR(__xludf.DUMMYFUNCTION("""COMPUTED_VALUE"""),"GAZ:00003957")</f>
        <v>GAZ:00003957</v>
      </c>
      <c r="D1291"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H1291" s="55" t="s">
        <v>19</v>
      </c>
      <c r="I1291" s="55" t="s">
        <v>19</v>
      </c>
      <c r="J1291" s="55" t="s">
        <v>19</v>
      </c>
      <c r="K1291" s="55" t="str">
        <f t="shared" si="74"/>
        <v>MPox</v>
      </c>
      <c r="M1291" s="40"/>
    </row>
    <row r="1292">
      <c r="A1292" s="34"/>
      <c r="B1292" s="53" t="str">
        <f>IFERROR(__xludf.DUMMYFUNCTION("""COMPUTED_VALUE"""),"Andorra                    ")</f>
        <v>Andorra                    </v>
      </c>
      <c r="C1292" s="34" t="str">
        <f>IFERROR(__xludf.DUMMYFUNCTION("""COMPUTED_VALUE"""),"GAZ:00002948")</f>
        <v>GAZ:00002948</v>
      </c>
      <c r="D1292"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H1292" s="55" t="s">
        <v>19</v>
      </c>
      <c r="I1292" s="55" t="s">
        <v>19</v>
      </c>
      <c r="J1292" s="55" t="s">
        <v>19</v>
      </c>
      <c r="K1292" s="55" t="str">
        <f t="shared" si="74"/>
        <v>MPox</v>
      </c>
      <c r="M1292" s="40"/>
    </row>
    <row r="1293">
      <c r="A1293" s="34"/>
      <c r="B1293" s="53" t="str">
        <f>IFERROR(__xludf.DUMMYFUNCTION("""COMPUTED_VALUE"""),"Angola                    ")</f>
        <v>Angola                    </v>
      </c>
      <c r="C1293" s="34" t="str">
        <f>IFERROR(__xludf.DUMMYFUNCTION("""COMPUTED_VALUE"""),"GAZ:00001095")</f>
        <v>GAZ:00001095</v>
      </c>
      <c r="D1293"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H1293" s="55" t="s">
        <v>19</v>
      </c>
      <c r="I1293" s="55" t="s">
        <v>19</v>
      </c>
      <c r="J1293" s="55" t="s">
        <v>19</v>
      </c>
      <c r="K1293" s="55" t="str">
        <f t="shared" si="74"/>
        <v>MPox</v>
      </c>
      <c r="M1293" s="40"/>
    </row>
    <row r="1294">
      <c r="A1294" s="34"/>
      <c r="B1294" s="53" t="str">
        <f>IFERROR(__xludf.DUMMYFUNCTION("""COMPUTED_VALUE"""),"Anguilla                    ")</f>
        <v>Anguilla                    </v>
      </c>
      <c r="C1294" s="34" t="str">
        <f>IFERROR(__xludf.DUMMYFUNCTION("""COMPUTED_VALUE"""),"GAZ:00009159")</f>
        <v>GAZ:00009159</v>
      </c>
      <c r="D1294"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H1294" s="55" t="s">
        <v>19</v>
      </c>
      <c r="I1294" s="55" t="s">
        <v>19</v>
      </c>
      <c r="J1294" s="55" t="s">
        <v>19</v>
      </c>
      <c r="K1294" s="55" t="str">
        <f t="shared" si="74"/>
        <v>MPox</v>
      </c>
      <c r="M1294" s="40"/>
    </row>
    <row r="1295">
      <c r="A1295" s="34"/>
      <c r="B1295" s="53" t="str">
        <f>IFERROR(__xludf.DUMMYFUNCTION("""COMPUTED_VALUE"""),"Antarctica                    ")</f>
        <v>Antarctica                    </v>
      </c>
      <c r="C1295" s="34" t="str">
        <f>IFERROR(__xludf.DUMMYFUNCTION("""COMPUTED_VALUE"""),"GAZ:00000462")</f>
        <v>GAZ:00000462</v>
      </c>
      <c r="D1295"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H1295" s="55" t="s">
        <v>19</v>
      </c>
      <c r="I1295" s="55" t="s">
        <v>19</v>
      </c>
      <c r="J1295" s="55" t="s">
        <v>19</v>
      </c>
      <c r="K1295" s="55" t="str">
        <f t="shared" si="74"/>
        <v>MPox</v>
      </c>
      <c r="M1295" s="40"/>
    </row>
    <row r="1296">
      <c r="A1296" s="34"/>
      <c r="B1296" s="53" t="str">
        <f>IFERROR(__xludf.DUMMYFUNCTION("""COMPUTED_VALUE"""),"Antigua and Barbuda                    ")</f>
        <v>Antigua and Barbuda                    </v>
      </c>
      <c r="C1296" s="34" t="str">
        <f>IFERROR(__xludf.DUMMYFUNCTION("""COMPUTED_VALUE"""),"GAZ:00006883")</f>
        <v>GAZ:00006883</v>
      </c>
      <c r="D1296"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H1296" s="55" t="s">
        <v>19</v>
      </c>
      <c r="I1296" s="55" t="s">
        <v>19</v>
      </c>
      <c r="J1296" s="55" t="s">
        <v>19</v>
      </c>
      <c r="K1296" s="55" t="str">
        <f t="shared" si="74"/>
        <v>MPox</v>
      </c>
      <c r="M1296" s="40"/>
    </row>
    <row r="1297">
      <c r="A1297" s="34"/>
      <c r="B1297" s="53" t="str">
        <f>IFERROR(__xludf.DUMMYFUNCTION("""COMPUTED_VALUE"""),"Argentina                    ")</f>
        <v>Argentina                    </v>
      </c>
      <c r="C1297" s="34" t="str">
        <f>IFERROR(__xludf.DUMMYFUNCTION("""COMPUTED_VALUE"""),"GAZ:00002928")</f>
        <v>GAZ:00002928</v>
      </c>
      <c r="D1297"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H1297" s="55" t="s">
        <v>19</v>
      </c>
      <c r="I1297" s="55" t="s">
        <v>19</v>
      </c>
      <c r="J1297" s="55" t="s">
        <v>19</v>
      </c>
      <c r="K1297" s="55" t="str">
        <f t="shared" si="74"/>
        <v>MPox</v>
      </c>
      <c r="M1297" s="40"/>
    </row>
    <row r="1298">
      <c r="A1298" s="34"/>
      <c r="B1298" s="53" t="str">
        <f>IFERROR(__xludf.DUMMYFUNCTION("""COMPUTED_VALUE"""),"Armenia                    ")</f>
        <v>Armenia                    </v>
      </c>
      <c r="C1298" s="34" t="str">
        <f>IFERROR(__xludf.DUMMYFUNCTION("""COMPUTED_VALUE"""),"GAZ:00004094")</f>
        <v>GAZ:00004094</v>
      </c>
      <c r="D1298"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H1298" s="55" t="s">
        <v>19</v>
      </c>
      <c r="I1298" s="55" t="s">
        <v>19</v>
      </c>
      <c r="J1298" s="55" t="s">
        <v>19</v>
      </c>
      <c r="K1298" s="55" t="str">
        <f t="shared" si="74"/>
        <v>MPox</v>
      </c>
      <c r="M1298" s="40"/>
    </row>
    <row r="1299">
      <c r="A1299" s="34"/>
      <c r="B1299" s="53" t="str">
        <f>IFERROR(__xludf.DUMMYFUNCTION("""COMPUTED_VALUE"""),"Aruba                    ")</f>
        <v>Aruba                    </v>
      </c>
      <c r="C1299" s="34" t="str">
        <f>IFERROR(__xludf.DUMMYFUNCTION("""COMPUTED_VALUE"""),"GAZ:00004025")</f>
        <v>GAZ:00004025</v>
      </c>
      <c r="D1299"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H1299" s="55" t="s">
        <v>19</v>
      </c>
      <c r="I1299" s="55" t="s">
        <v>19</v>
      </c>
      <c r="J1299" s="55" t="s">
        <v>19</v>
      </c>
      <c r="K1299" s="55" t="str">
        <f t="shared" si="74"/>
        <v>MPox</v>
      </c>
      <c r="M1299" s="40"/>
    </row>
    <row r="1300">
      <c r="A1300" s="34"/>
      <c r="B1300" s="53" t="str">
        <f>IFERROR(__xludf.DUMMYFUNCTION("""COMPUTED_VALUE"""),"Ashmore and Cartier Islands                    ")</f>
        <v>Ashmore and Cartier Islands                    </v>
      </c>
      <c r="C1300" s="34" t="str">
        <f>IFERROR(__xludf.DUMMYFUNCTION("""COMPUTED_VALUE"""),"GAZ:00005901")</f>
        <v>GAZ:00005901</v>
      </c>
      <c r="D1300"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H1300" s="55" t="s">
        <v>19</v>
      </c>
      <c r="I1300" s="55" t="s">
        <v>19</v>
      </c>
      <c r="J1300" s="55" t="s">
        <v>19</v>
      </c>
      <c r="K1300" s="55" t="str">
        <f t="shared" si="74"/>
        <v>MPox</v>
      </c>
      <c r="M1300" s="40"/>
    </row>
    <row r="1301">
      <c r="A1301" s="34"/>
      <c r="B1301" s="53" t="str">
        <f>IFERROR(__xludf.DUMMYFUNCTION("""COMPUTED_VALUE"""),"Australia                    ")</f>
        <v>Australia                    </v>
      </c>
      <c r="C1301" s="34" t="str">
        <f>IFERROR(__xludf.DUMMYFUNCTION("""COMPUTED_VALUE"""),"GAZ:00000463")</f>
        <v>GAZ:00000463</v>
      </c>
      <c r="D1301"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H1301" s="55" t="s">
        <v>19</v>
      </c>
      <c r="I1301" s="55" t="s">
        <v>19</v>
      </c>
      <c r="J1301" s="55" t="s">
        <v>19</v>
      </c>
      <c r="K1301" s="55" t="str">
        <f t="shared" si="74"/>
        <v>MPox</v>
      </c>
      <c r="M1301" s="40"/>
    </row>
    <row r="1302">
      <c r="A1302" s="34"/>
      <c r="B1302" s="53" t="str">
        <f>IFERROR(__xludf.DUMMYFUNCTION("""COMPUTED_VALUE"""),"Austria                    ")</f>
        <v>Austria                    </v>
      </c>
      <c r="C1302" s="34" t="str">
        <f>IFERROR(__xludf.DUMMYFUNCTION("""COMPUTED_VALUE"""),"GAZ:00002942")</f>
        <v>GAZ:00002942</v>
      </c>
      <c r="D1302"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H1302" s="55" t="s">
        <v>19</v>
      </c>
      <c r="I1302" s="55" t="s">
        <v>19</v>
      </c>
      <c r="J1302" s="55" t="s">
        <v>19</v>
      </c>
      <c r="K1302" s="55" t="str">
        <f t="shared" si="74"/>
        <v>MPox</v>
      </c>
      <c r="M1302" s="40"/>
    </row>
    <row r="1303">
      <c r="A1303" s="34"/>
      <c r="B1303" s="53" t="str">
        <f>IFERROR(__xludf.DUMMYFUNCTION("""COMPUTED_VALUE"""),"Azerbaijan                    ")</f>
        <v>Azerbaijan                    </v>
      </c>
      <c r="C1303" s="34" t="str">
        <f>IFERROR(__xludf.DUMMYFUNCTION("""COMPUTED_VALUE"""),"GAZ:00004941")</f>
        <v>GAZ:00004941</v>
      </c>
      <c r="D1303"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H1303" s="55" t="s">
        <v>19</v>
      </c>
      <c r="I1303" s="55" t="s">
        <v>19</v>
      </c>
      <c r="J1303" s="55" t="s">
        <v>19</v>
      </c>
      <c r="K1303" s="55" t="str">
        <f t="shared" si="74"/>
        <v>MPox</v>
      </c>
      <c r="M1303" s="40"/>
    </row>
    <row r="1304">
      <c r="A1304" s="34"/>
      <c r="B1304" s="53" t="str">
        <f>IFERROR(__xludf.DUMMYFUNCTION("""COMPUTED_VALUE"""),"Bahamas                    ")</f>
        <v>Bahamas                    </v>
      </c>
      <c r="C1304" s="34" t="str">
        <f>IFERROR(__xludf.DUMMYFUNCTION("""COMPUTED_VALUE"""),"GAZ:00002733")</f>
        <v>GAZ:00002733</v>
      </c>
      <c r="D1304"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H1304" s="55" t="s">
        <v>19</v>
      </c>
      <c r="I1304" s="55" t="s">
        <v>19</v>
      </c>
      <c r="J1304" s="55" t="s">
        <v>19</v>
      </c>
      <c r="K1304" s="55" t="str">
        <f t="shared" si="74"/>
        <v>MPox</v>
      </c>
      <c r="M1304" s="40"/>
    </row>
    <row r="1305">
      <c r="A1305" s="34"/>
      <c r="B1305" s="53" t="str">
        <f>IFERROR(__xludf.DUMMYFUNCTION("""COMPUTED_VALUE"""),"Bahrain                    ")</f>
        <v>Bahrain                    </v>
      </c>
      <c r="C1305" s="34" t="str">
        <f>IFERROR(__xludf.DUMMYFUNCTION("""COMPUTED_VALUE"""),"GAZ:00005281")</f>
        <v>GAZ:00005281</v>
      </c>
      <c r="D1305"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H1305" s="55" t="s">
        <v>19</v>
      </c>
      <c r="I1305" s="55" t="s">
        <v>19</v>
      </c>
      <c r="J1305" s="55" t="s">
        <v>19</v>
      </c>
      <c r="K1305" s="55" t="str">
        <f t="shared" si="74"/>
        <v>MPox</v>
      </c>
      <c r="M1305" s="40"/>
    </row>
    <row r="1306">
      <c r="A1306" s="34"/>
      <c r="B1306" s="53" t="str">
        <f>IFERROR(__xludf.DUMMYFUNCTION("""COMPUTED_VALUE"""),"Baker Island                    ")</f>
        <v>Baker Island                    </v>
      </c>
      <c r="C1306" s="34" t="str">
        <f>IFERROR(__xludf.DUMMYFUNCTION("""COMPUTED_VALUE"""),"GAZ:00007117")</f>
        <v>GAZ:00007117</v>
      </c>
      <c r="D1306"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H1306" s="55" t="s">
        <v>19</v>
      </c>
      <c r="I1306" s="55" t="s">
        <v>19</v>
      </c>
      <c r="J1306" s="55" t="s">
        <v>19</v>
      </c>
      <c r="K1306" s="55" t="str">
        <f t="shared" si="74"/>
        <v>MPox</v>
      </c>
      <c r="M1306" s="40"/>
    </row>
    <row r="1307">
      <c r="A1307" s="34"/>
      <c r="B1307" s="53" t="str">
        <f>IFERROR(__xludf.DUMMYFUNCTION("""COMPUTED_VALUE"""),"Bangladesh                    ")</f>
        <v>Bangladesh                    </v>
      </c>
      <c r="C1307" s="34" t="str">
        <f>IFERROR(__xludf.DUMMYFUNCTION("""COMPUTED_VALUE"""),"GAZ:00003750")</f>
        <v>GAZ:00003750</v>
      </c>
      <c r="D1307"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H1307" s="55" t="s">
        <v>19</v>
      </c>
      <c r="I1307" s="55" t="s">
        <v>19</v>
      </c>
      <c r="J1307" s="55" t="s">
        <v>19</v>
      </c>
      <c r="K1307" s="55" t="str">
        <f t="shared" si="74"/>
        <v>MPox</v>
      </c>
      <c r="M1307" s="40"/>
    </row>
    <row r="1308">
      <c r="A1308" s="29"/>
      <c r="B1308" s="53" t="str">
        <f>IFERROR(__xludf.DUMMYFUNCTION("""COMPUTED_VALUE"""),"Barbados                    ")</f>
        <v>Barbados                    </v>
      </c>
      <c r="C1308" s="29" t="str">
        <f>IFERROR(__xludf.DUMMYFUNCTION("""COMPUTED_VALUE"""),"GAZ:00001251")</f>
        <v>GAZ:00001251</v>
      </c>
      <c r="D1308"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1308" s="29"/>
      <c r="F1308" s="29"/>
      <c r="G1308" s="29"/>
      <c r="H1308" s="29"/>
      <c r="I1308" s="29"/>
      <c r="J1308" s="29"/>
      <c r="K1308" s="55" t="str">
        <f t="shared" si="74"/>
        <v>MPox</v>
      </c>
      <c r="M1308" s="40"/>
    </row>
    <row r="1309">
      <c r="A1309" s="29"/>
      <c r="B1309" s="53" t="str">
        <f>IFERROR(__xludf.DUMMYFUNCTION("""COMPUTED_VALUE"""),"Bassas da India                    ")</f>
        <v>Bassas da India                    </v>
      </c>
      <c r="C1309" s="29" t="str">
        <f>IFERROR(__xludf.DUMMYFUNCTION("""COMPUTED_VALUE"""),"GAZ:00005810")</f>
        <v>GAZ:00005810</v>
      </c>
      <c r="D1309"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1309" s="29"/>
      <c r="F1309" s="29"/>
      <c r="G1309" s="29"/>
      <c r="H1309" s="56" t="s">
        <v>19</v>
      </c>
      <c r="I1309" s="56" t="s">
        <v>19</v>
      </c>
      <c r="J1309" s="56" t="s">
        <v>19</v>
      </c>
      <c r="K1309" s="55" t="str">
        <f t="shared" si="74"/>
        <v>MPox</v>
      </c>
      <c r="M1309" s="40"/>
    </row>
    <row r="1310">
      <c r="A1310" s="29"/>
      <c r="B1310" s="53" t="str">
        <f>IFERROR(__xludf.DUMMYFUNCTION("""COMPUTED_VALUE"""),"Belarus                    ")</f>
        <v>Belarus                    </v>
      </c>
      <c r="C1310" s="29" t="str">
        <f>IFERROR(__xludf.DUMMYFUNCTION("""COMPUTED_VALUE"""),"GAZ:00006886")</f>
        <v>GAZ:00006886</v>
      </c>
      <c r="D1310"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1310" s="29"/>
      <c r="F1310" s="29"/>
      <c r="G1310" s="29"/>
      <c r="H1310" s="56" t="s">
        <v>19</v>
      </c>
      <c r="I1310" s="56" t="s">
        <v>19</v>
      </c>
      <c r="J1310" s="56" t="s">
        <v>19</v>
      </c>
      <c r="K1310" s="55" t="str">
        <f t="shared" si="74"/>
        <v>MPox</v>
      </c>
      <c r="M1310" s="40"/>
    </row>
    <row r="1311">
      <c r="A1311" s="29"/>
      <c r="B1311" s="53" t="str">
        <f>IFERROR(__xludf.DUMMYFUNCTION("""COMPUTED_VALUE"""),"Belgium                    ")</f>
        <v>Belgium                    </v>
      </c>
      <c r="C1311" s="29" t="str">
        <f>IFERROR(__xludf.DUMMYFUNCTION("""COMPUTED_VALUE"""),"GAZ:00002938")</f>
        <v>GAZ:00002938</v>
      </c>
      <c r="D1311"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1311" s="29"/>
      <c r="F1311" s="29"/>
      <c r="G1311" s="29"/>
      <c r="H1311" s="56" t="s">
        <v>19</v>
      </c>
      <c r="I1311" s="56" t="s">
        <v>19</v>
      </c>
      <c r="J1311" s="56" t="s">
        <v>19</v>
      </c>
      <c r="K1311" s="55" t="str">
        <f t="shared" si="74"/>
        <v>MPox</v>
      </c>
      <c r="M1311" s="40"/>
    </row>
    <row r="1312">
      <c r="A1312" s="29"/>
      <c r="B1312" s="53" t="str">
        <f>IFERROR(__xludf.DUMMYFUNCTION("""COMPUTED_VALUE"""),"Belize                    ")</f>
        <v>Belize                    </v>
      </c>
      <c r="C1312" s="29" t="str">
        <f>IFERROR(__xludf.DUMMYFUNCTION("""COMPUTED_VALUE"""),"GAZ:00002934")</f>
        <v>GAZ:00002934</v>
      </c>
      <c r="D1312"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1312" s="29"/>
      <c r="F1312" s="29"/>
      <c r="G1312" s="29"/>
      <c r="H1312" s="56" t="s">
        <v>19</v>
      </c>
      <c r="I1312" s="56" t="s">
        <v>19</v>
      </c>
      <c r="J1312" s="56" t="s">
        <v>19</v>
      </c>
      <c r="K1312" s="55" t="str">
        <f t="shared" si="74"/>
        <v>MPox</v>
      </c>
      <c r="M1312" s="40"/>
    </row>
    <row r="1313">
      <c r="A1313" s="29"/>
      <c r="B1313" s="53" t="str">
        <f>IFERROR(__xludf.DUMMYFUNCTION("""COMPUTED_VALUE"""),"Benin                    ")</f>
        <v>Benin                    </v>
      </c>
      <c r="C1313" s="29" t="str">
        <f>IFERROR(__xludf.DUMMYFUNCTION("""COMPUTED_VALUE"""),"GAZ:00000904")</f>
        <v>GAZ:00000904</v>
      </c>
      <c r="D1313"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1313" s="29"/>
      <c r="F1313" s="29"/>
      <c r="G1313" s="29"/>
      <c r="H1313" s="56" t="s">
        <v>19</v>
      </c>
      <c r="I1313" s="56" t="s">
        <v>19</v>
      </c>
      <c r="J1313" s="56" t="s">
        <v>19</v>
      </c>
      <c r="K1313" s="55" t="str">
        <f t="shared" si="74"/>
        <v>MPox</v>
      </c>
      <c r="M1313" s="40"/>
    </row>
    <row r="1314">
      <c r="A1314" s="29"/>
      <c r="B1314" s="53" t="str">
        <f>IFERROR(__xludf.DUMMYFUNCTION("""COMPUTED_VALUE"""),"Bermuda                    ")</f>
        <v>Bermuda                    </v>
      </c>
      <c r="C1314" s="29" t="str">
        <f>IFERROR(__xludf.DUMMYFUNCTION("""COMPUTED_VALUE"""),"GAZ:00001264")</f>
        <v>GAZ:00001264</v>
      </c>
      <c r="D1314"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1314" s="29"/>
      <c r="F1314" s="29"/>
      <c r="G1314" s="29"/>
      <c r="H1314" s="56" t="s">
        <v>19</v>
      </c>
      <c r="I1314" s="56" t="s">
        <v>19</v>
      </c>
      <c r="J1314" s="56" t="s">
        <v>19</v>
      </c>
      <c r="K1314" s="55" t="str">
        <f t="shared" si="74"/>
        <v>MPox</v>
      </c>
      <c r="M1314" s="40"/>
    </row>
    <row r="1315">
      <c r="A1315" s="29"/>
      <c r="B1315" s="53" t="str">
        <f>IFERROR(__xludf.DUMMYFUNCTION("""COMPUTED_VALUE"""),"Bhutan                    ")</f>
        <v>Bhutan                    </v>
      </c>
      <c r="C1315" s="29" t="str">
        <f>IFERROR(__xludf.DUMMYFUNCTION("""COMPUTED_VALUE"""),"GAZ:00003920")</f>
        <v>GAZ:00003920</v>
      </c>
      <c r="D1315"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1315" s="29"/>
      <c r="F1315" s="29"/>
      <c r="G1315" s="29"/>
      <c r="H1315" s="56" t="s">
        <v>19</v>
      </c>
      <c r="I1315" s="56" t="s">
        <v>19</v>
      </c>
      <c r="J1315" s="56" t="s">
        <v>19</v>
      </c>
      <c r="K1315" s="55" t="str">
        <f t="shared" si="74"/>
        <v>MPox</v>
      </c>
      <c r="M1315" s="40"/>
    </row>
    <row r="1316">
      <c r="A1316" s="29"/>
      <c r="B1316" s="53" t="str">
        <f>IFERROR(__xludf.DUMMYFUNCTION("""COMPUTED_VALUE"""),"Bolivia                    ")</f>
        <v>Bolivia                    </v>
      </c>
      <c r="C1316" s="29" t="str">
        <f>IFERROR(__xludf.DUMMYFUNCTION("""COMPUTED_VALUE"""),"GAZ:00002511")</f>
        <v>GAZ:00002511</v>
      </c>
      <c r="D1316"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316" s="29"/>
      <c r="F1316" s="29"/>
      <c r="G1316" s="29"/>
      <c r="H1316" s="56" t="s">
        <v>19</v>
      </c>
      <c r="I1316" s="56" t="s">
        <v>19</v>
      </c>
      <c r="J1316" s="56" t="s">
        <v>19</v>
      </c>
      <c r="K1316" s="55" t="str">
        <f t="shared" si="74"/>
        <v>MPox</v>
      </c>
      <c r="M1316" s="40"/>
    </row>
    <row r="1317">
      <c r="A1317" s="29"/>
      <c r="B1317" s="53" t="str">
        <f>IFERROR(__xludf.DUMMYFUNCTION("""COMPUTED_VALUE"""),"Borneo                    ")</f>
        <v>Borneo                    </v>
      </c>
      <c r="C1317" s="29" t="str">
        <f>IFERROR(__xludf.DUMMYFUNCTION("""COMPUTED_VALUE"""),"GAZ:00025355")</f>
        <v>GAZ:00025355</v>
      </c>
      <c r="D1317"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317" s="29"/>
      <c r="F1317" s="29"/>
      <c r="G1317" s="29"/>
      <c r="H1317" s="56" t="s">
        <v>19</v>
      </c>
      <c r="I1317" s="56" t="s">
        <v>19</v>
      </c>
      <c r="J1317" s="56" t="s">
        <v>19</v>
      </c>
      <c r="K1317" s="55" t="str">
        <f t="shared" si="74"/>
        <v>MPox</v>
      </c>
      <c r="M1317" s="40"/>
    </row>
    <row r="1318">
      <c r="A1318" s="29"/>
      <c r="B1318" s="53" t="str">
        <f>IFERROR(__xludf.DUMMYFUNCTION("""COMPUTED_VALUE"""),"Bosnia and Herzegovina                    ")</f>
        <v>Bosnia and Herzegovina                    </v>
      </c>
      <c r="C1318" s="29" t="str">
        <f>IFERROR(__xludf.DUMMYFUNCTION("""COMPUTED_VALUE"""),"GAZ:00006887")</f>
        <v>GAZ:00006887</v>
      </c>
      <c r="D1318"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318" s="29"/>
      <c r="F1318" s="29"/>
      <c r="G1318" s="29"/>
      <c r="H1318" s="56" t="s">
        <v>19</v>
      </c>
      <c r="I1318" s="56" t="s">
        <v>19</v>
      </c>
      <c r="J1318" s="56" t="s">
        <v>19</v>
      </c>
      <c r="K1318" s="55" t="str">
        <f t="shared" si="74"/>
        <v>MPox</v>
      </c>
      <c r="M1318" s="40"/>
    </row>
    <row r="1319">
      <c r="A1319" s="29"/>
      <c r="B1319" s="53" t="str">
        <f>IFERROR(__xludf.DUMMYFUNCTION("""COMPUTED_VALUE"""),"Botswana                    ")</f>
        <v>Botswana                    </v>
      </c>
      <c r="C1319" s="29" t="str">
        <f>IFERROR(__xludf.DUMMYFUNCTION("""COMPUTED_VALUE"""),"GAZ:00001097")</f>
        <v>GAZ:00001097</v>
      </c>
      <c r="D1319"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319" s="29"/>
      <c r="F1319" s="29"/>
      <c r="G1319" s="29"/>
      <c r="H1319" s="56" t="s">
        <v>19</v>
      </c>
      <c r="I1319" s="56" t="s">
        <v>19</v>
      </c>
      <c r="J1319" s="56" t="s">
        <v>19</v>
      </c>
      <c r="K1319" s="55" t="str">
        <f t="shared" si="74"/>
        <v>MPox</v>
      </c>
      <c r="M1319" s="40"/>
    </row>
    <row r="1320">
      <c r="A1320" s="29"/>
      <c r="B1320" s="53" t="str">
        <f>IFERROR(__xludf.DUMMYFUNCTION("""COMPUTED_VALUE"""),"Bouvet Island                    ")</f>
        <v>Bouvet Island                    </v>
      </c>
      <c r="C1320" s="29" t="str">
        <f>IFERROR(__xludf.DUMMYFUNCTION("""COMPUTED_VALUE"""),"GAZ:00001453")</f>
        <v>GAZ:00001453</v>
      </c>
      <c r="D1320"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320" s="29"/>
      <c r="F1320" s="29"/>
      <c r="G1320" s="29"/>
      <c r="H1320" s="56" t="s">
        <v>19</v>
      </c>
      <c r="I1320" s="56" t="s">
        <v>19</v>
      </c>
      <c r="J1320" s="56" t="s">
        <v>19</v>
      </c>
      <c r="K1320" s="55" t="str">
        <f t="shared" si="74"/>
        <v>MPox</v>
      </c>
      <c r="M1320" s="40"/>
    </row>
    <row r="1321">
      <c r="A1321" s="29"/>
      <c r="B1321" s="53" t="str">
        <f>IFERROR(__xludf.DUMMYFUNCTION("""COMPUTED_VALUE"""),"Brazil                    ")</f>
        <v>Brazil                    </v>
      </c>
      <c r="C1321" s="29" t="str">
        <f>IFERROR(__xludf.DUMMYFUNCTION("""COMPUTED_VALUE"""),"GAZ:00002828")</f>
        <v>GAZ:00002828</v>
      </c>
      <c r="D1321"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321" s="29"/>
      <c r="F1321" s="29"/>
      <c r="G1321" s="29"/>
      <c r="H1321" s="56" t="s">
        <v>19</v>
      </c>
      <c r="I1321" s="56" t="s">
        <v>19</v>
      </c>
      <c r="J1321" s="56" t="s">
        <v>19</v>
      </c>
      <c r="K1321" s="55" t="str">
        <f t="shared" si="74"/>
        <v>MPox</v>
      </c>
      <c r="M1321" s="40"/>
    </row>
    <row r="1322">
      <c r="A1322" s="29"/>
      <c r="B1322" s="53" t="str">
        <f>IFERROR(__xludf.DUMMYFUNCTION("""COMPUTED_VALUE"""),"British Virgin Islands                    ")</f>
        <v>British Virgin Islands                    </v>
      </c>
      <c r="C1322" s="29" t="str">
        <f>IFERROR(__xludf.DUMMYFUNCTION("""COMPUTED_VALUE"""),"GAZ:00003961")</f>
        <v>GAZ:00003961</v>
      </c>
      <c r="D1322"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322" s="29"/>
      <c r="F1322" s="29"/>
      <c r="G1322" s="29"/>
      <c r="H1322" s="56" t="s">
        <v>19</v>
      </c>
      <c r="I1322" s="56" t="s">
        <v>19</v>
      </c>
      <c r="J1322" s="56" t="s">
        <v>19</v>
      </c>
      <c r="K1322" s="55" t="str">
        <f t="shared" si="74"/>
        <v>MPox</v>
      </c>
      <c r="M1322" s="40"/>
    </row>
    <row r="1323">
      <c r="A1323" s="29"/>
      <c r="B1323" s="53" t="str">
        <f>IFERROR(__xludf.DUMMYFUNCTION("""COMPUTED_VALUE"""),"Brunei                    ")</f>
        <v>Brunei                    </v>
      </c>
      <c r="C1323" s="29" t="str">
        <f>IFERROR(__xludf.DUMMYFUNCTION("""COMPUTED_VALUE"""),"GAZ:00003901")</f>
        <v>GAZ:00003901</v>
      </c>
      <c r="D1323"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323" s="29"/>
      <c r="F1323" s="29"/>
      <c r="G1323" s="29"/>
      <c r="H1323" s="56" t="s">
        <v>19</v>
      </c>
      <c r="I1323" s="56" t="s">
        <v>19</v>
      </c>
      <c r="J1323" s="56" t="s">
        <v>19</v>
      </c>
      <c r="K1323" s="55" t="str">
        <f t="shared" si="74"/>
        <v>MPox</v>
      </c>
      <c r="M1323" s="40"/>
    </row>
    <row r="1324">
      <c r="A1324" s="29"/>
      <c r="B1324" s="53" t="str">
        <f>IFERROR(__xludf.DUMMYFUNCTION("""COMPUTED_VALUE"""),"Bulgaria                    ")</f>
        <v>Bulgaria                    </v>
      </c>
      <c r="C1324" s="29" t="str">
        <f>IFERROR(__xludf.DUMMYFUNCTION("""COMPUTED_VALUE"""),"GAZ:00002950")</f>
        <v>GAZ:00002950</v>
      </c>
      <c r="D1324"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324" s="29"/>
      <c r="F1324" s="29"/>
      <c r="G1324" s="29"/>
      <c r="H1324" s="56" t="s">
        <v>19</v>
      </c>
      <c r="I1324" s="56" t="s">
        <v>19</v>
      </c>
      <c r="J1324" s="56" t="s">
        <v>19</v>
      </c>
      <c r="K1324" s="55" t="str">
        <f t="shared" si="74"/>
        <v>MPox</v>
      </c>
      <c r="M1324" s="40"/>
    </row>
    <row r="1325">
      <c r="A1325" s="29"/>
      <c r="B1325" s="53" t="str">
        <f>IFERROR(__xludf.DUMMYFUNCTION("""COMPUTED_VALUE"""),"Burkina Faso                    ")</f>
        <v>Burkina Faso                    </v>
      </c>
      <c r="C1325" s="29" t="str">
        <f>IFERROR(__xludf.DUMMYFUNCTION("""COMPUTED_VALUE"""),"GAZ:00000905")</f>
        <v>GAZ:00000905</v>
      </c>
      <c r="D1325"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325" s="29"/>
      <c r="F1325" s="29"/>
      <c r="G1325" s="29"/>
      <c r="H1325" s="56" t="s">
        <v>19</v>
      </c>
      <c r="I1325" s="56" t="s">
        <v>19</v>
      </c>
      <c r="J1325" s="56" t="s">
        <v>19</v>
      </c>
      <c r="K1325" s="55" t="str">
        <f t="shared" si="74"/>
        <v>MPox</v>
      </c>
      <c r="M1325" s="40"/>
    </row>
    <row r="1326">
      <c r="A1326" s="29"/>
      <c r="B1326" s="53" t="str">
        <f>IFERROR(__xludf.DUMMYFUNCTION("""COMPUTED_VALUE"""),"Burundi                    ")</f>
        <v>Burundi                    </v>
      </c>
      <c r="C1326" s="29" t="str">
        <f>IFERROR(__xludf.DUMMYFUNCTION("""COMPUTED_VALUE"""),"GAZ:00001090")</f>
        <v>GAZ:00001090</v>
      </c>
      <c r="D1326"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326" s="29"/>
      <c r="F1326" s="29"/>
      <c r="G1326" s="29"/>
      <c r="H1326" s="56" t="s">
        <v>19</v>
      </c>
      <c r="I1326" s="56" t="s">
        <v>19</v>
      </c>
      <c r="J1326" s="56" t="s">
        <v>19</v>
      </c>
      <c r="K1326" s="55" t="str">
        <f t="shared" si="74"/>
        <v>MPox</v>
      </c>
      <c r="M1326" s="40"/>
    </row>
    <row r="1327">
      <c r="A1327" s="29"/>
      <c r="B1327" s="53" t="str">
        <f>IFERROR(__xludf.DUMMYFUNCTION("""COMPUTED_VALUE"""),"Cambodia                    ")</f>
        <v>Cambodia                    </v>
      </c>
      <c r="C1327" s="29" t="str">
        <f>IFERROR(__xludf.DUMMYFUNCTION("""COMPUTED_VALUE"""),"GAZ:00006888")</f>
        <v>GAZ:00006888</v>
      </c>
      <c r="D1327"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327" s="29"/>
      <c r="F1327" s="29"/>
      <c r="G1327" s="29"/>
      <c r="H1327" s="56" t="s">
        <v>19</v>
      </c>
      <c r="I1327" s="56" t="s">
        <v>19</v>
      </c>
      <c r="J1327" s="56" t="s">
        <v>19</v>
      </c>
      <c r="K1327" s="55" t="str">
        <f t="shared" si="74"/>
        <v>MPox</v>
      </c>
      <c r="M1327" s="40"/>
    </row>
    <row r="1328">
      <c r="A1328" s="29"/>
      <c r="B1328" s="53" t="str">
        <f>IFERROR(__xludf.DUMMYFUNCTION("""COMPUTED_VALUE"""),"Cameroon                    ")</f>
        <v>Cameroon                    </v>
      </c>
      <c r="C1328" s="29" t="str">
        <f>IFERROR(__xludf.DUMMYFUNCTION("""COMPUTED_VALUE"""),"GAZ:00001093")</f>
        <v>GAZ:00001093</v>
      </c>
      <c r="D1328"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328" s="29"/>
      <c r="F1328" s="29"/>
      <c r="G1328" s="29"/>
      <c r="H1328" s="56" t="s">
        <v>19</v>
      </c>
      <c r="I1328" s="56" t="s">
        <v>19</v>
      </c>
      <c r="J1328" s="56" t="s">
        <v>19</v>
      </c>
      <c r="K1328" s="55" t="str">
        <f t="shared" si="74"/>
        <v>MPox</v>
      </c>
      <c r="M1328" s="40"/>
    </row>
    <row r="1329">
      <c r="A1329" s="29"/>
      <c r="B1329" s="53" t="str">
        <f>IFERROR(__xludf.DUMMYFUNCTION("""COMPUTED_VALUE"""),"Canada                    ")</f>
        <v>Canada                    </v>
      </c>
      <c r="C1329" s="29" t="str">
        <f>IFERROR(__xludf.DUMMYFUNCTION("""COMPUTED_VALUE"""),"GAZ:00002560")</f>
        <v>GAZ:00002560</v>
      </c>
      <c r="D1329"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329" s="29"/>
      <c r="F1329" s="29"/>
      <c r="G1329" s="29"/>
      <c r="H1329" s="56" t="s">
        <v>19</v>
      </c>
      <c r="I1329" s="56" t="s">
        <v>19</v>
      </c>
      <c r="J1329" s="56" t="s">
        <v>19</v>
      </c>
      <c r="K1329" s="55" t="str">
        <f t="shared" si="74"/>
        <v>MPox</v>
      </c>
      <c r="M1329" s="40"/>
    </row>
    <row r="1330">
      <c r="A1330" s="29"/>
      <c r="B1330" s="53" t="str">
        <f>IFERROR(__xludf.DUMMYFUNCTION("""COMPUTED_VALUE"""),"Cape Verde                    ")</f>
        <v>Cape Verde                    </v>
      </c>
      <c r="C1330" s="29" t="str">
        <f>IFERROR(__xludf.DUMMYFUNCTION("""COMPUTED_VALUE"""),"GAZ:00001227")</f>
        <v>GAZ:00001227</v>
      </c>
      <c r="D1330"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330" s="29"/>
      <c r="F1330" s="29"/>
      <c r="G1330" s="29"/>
      <c r="H1330" s="56" t="s">
        <v>19</v>
      </c>
      <c r="I1330" s="56" t="s">
        <v>19</v>
      </c>
      <c r="J1330" s="56" t="s">
        <v>19</v>
      </c>
      <c r="K1330" s="55" t="str">
        <f t="shared" si="74"/>
        <v>MPox</v>
      </c>
      <c r="M1330" s="40"/>
    </row>
    <row r="1331">
      <c r="A1331" s="29"/>
      <c r="B1331" s="53" t="str">
        <f>IFERROR(__xludf.DUMMYFUNCTION("""COMPUTED_VALUE"""),"Cayman Islands                    ")</f>
        <v>Cayman Islands                    </v>
      </c>
      <c r="C1331" s="29" t="str">
        <f>IFERROR(__xludf.DUMMYFUNCTION("""COMPUTED_VALUE"""),"GAZ:00003986")</f>
        <v>GAZ:00003986</v>
      </c>
      <c r="D1331"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331" s="29"/>
      <c r="F1331" s="29"/>
      <c r="G1331" s="29"/>
      <c r="H1331" s="56" t="s">
        <v>19</v>
      </c>
      <c r="I1331" s="56" t="s">
        <v>19</v>
      </c>
      <c r="J1331" s="56" t="s">
        <v>19</v>
      </c>
      <c r="K1331" s="55" t="str">
        <f t="shared" si="74"/>
        <v>MPox</v>
      </c>
      <c r="M1331" s="40"/>
    </row>
    <row r="1332">
      <c r="A1332" s="29"/>
      <c r="B1332" s="53" t="str">
        <f>IFERROR(__xludf.DUMMYFUNCTION("""COMPUTED_VALUE"""),"Central African Republic                    ")</f>
        <v>Central African Republic                    </v>
      </c>
      <c r="C1332" s="29" t="str">
        <f>IFERROR(__xludf.DUMMYFUNCTION("""COMPUTED_VALUE"""),"GAZ:00001089")</f>
        <v>GAZ:00001089</v>
      </c>
      <c r="D1332"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332" s="29"/>
      <c r="F1332" s="29"/>
      <c r="G1332" s="29"/>
      <c r="H1332" s="56" t="s">
        <v>19</v>
      </c>
      <c r="I1332" s="56" t="s">
        <v>19</v>
      </c>
      <c r="J1332" s="56" t="s">
        <v>19</v>
      </c>
      <c r="K1332" s="55" t="str">
        <f t="shared" si="74"/>
        <v>MPox</v>
      </c>
      <c r="M1332" s="40"/>
    </row>
    <row r="1333">
      <c r="A1333" s="29"/>
      <c r="B1333" s="53" t="str">
        <f>IFERROR(__xludf.DUMMYFUNCTION("""COMPUTED_VALUE"""),"Chad                    ")</f>
        <v>Chad                    </v>
      </c>
      <c r="C1333" s="29" t="str">
        <f>IFERROR(__xludf.DUMMYFUNCTION("""COMPUTED_VALUE"""),"GAZ:00000586")</f>
        <v>GAZ:00000586</v>
      </c>
      <c r="D1333"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333" s="29"/>
      <c r="F1333" s="29"/>
      <c r="G1333" s="29"/>
      <c r="H1333" s="56" t="s">
        <v>19</v>
      </c>
      <c r="I1333" s="56" t="s">
        <v>19</v>
      </c>
      <c r="J1333" s="56" t="s">
        <v>19</v>
      </c>
      <c r="K1333" s="55" t="str">
        <f t="shared" si="74"/>
        <v>MPox</v>
      </c>
      <c r="M1333" s="40"/>
    </row>
    <row r="1334">
      <c r="A1334" s="29"/>
      <c r="B1334" s="53" t="str">
        <f>IFERROR(__xludf.DUMMYFUNCTION("""COMPUTED_VALUE"""),"Chile                    ")</f>
        <v>Chile                    </v>
      </c>
      <c r="C1334" s="29" t="str">
        <f>IFERROR(__xludf.DUMMYFUNCTION("""COMPUTED_VALUE"""),"GAZ:00002825")</f>
        <v>GAZ:00002825</v>
      </c>
      <c r="D1334"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334" s="29"/>
      <c r="F1334" s="29"/>
      <c r="G1334" s="29"/>
      <c r="H1334" s="56" t="s">
        <v>19</v>
      </c>
      <c r="I1334" s="56" t="s">
        <v>19</v>
      </c>
      <c r="J1334" s="56" t="s">
        <v>19</v>
      </c>
      <c r="K1334" s="55" t="str">
        <f t="shared" si="74"/>
        <v>MPox</v>
      </c>
      <c r="M1334" s="40"/>
    </row>
    <row r="1335">
      <c r="A1335" s="29"/>
      <c r="B1335" s="53" t="str">
        <f>IFERROR(__xludf.DUMMYFUNCTION("""COMPUTED_VALUE"""),"China                    ")</f>
        <v>China                    </v>
      </c>
      <c r="C1335" s="29" t="str">
        <f>IFERROR(__xludf.DUMMYFUNCTION("""COMPUTED_VALUE"""),"GAZ:00002845")</f>
        <v>GAZ:00002845</v>
      </c>
      <c r="D1335"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335" s="29"/>
      <c r="F1335" s="29"/>
      <c r="G1335" s="29"/>
      <c r="H1335" s="56" t="s">
        <v>19</v>
      </c>
      <c r="I1335" s="56" t="s">
        <v>19</v>
      </c>
      <c r="J1335" s="56" t="s">
        <v>19</v>
      </c>
      <c r="K1335" s="55" t="str">
        <f t="shared" si="74"/>
        <v>MPox</v>
      </c>
      <c r="M1335" s="40"/>
    </row>
    <row r="1336">
      <c r="A1336" s="29"/>
      <c r="B1336" s="53" t="str">
        <f>IFERROR(__xludf.DUMMYFUNCTION("""COMPUTED_VALUE"""),"Christmas Island                    ")</f>
        <v>Christmas Island                    </v>
      </c>
      <c r="C1336" s="29" t="str">
        <f>IFERROR(__xludf.DUMMYFUNCTION("""COMPUTED_VALUE"""),"GAZ:00005915")</f>
        <v>GAZ:00005915</v>
      </c>
      <c r="D1336"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336" s="29"/>
      <c r="F1336" s="29"/>
      <c r="G1336" s="29"/>
      <c r="H1336" s="56" t="s">
        <v>19</v>
      </c>
      <c r="I1336" s="56" t="s">
        <v>19</v>
      </c>
      <c r="J1336" s="56" t="s">
        <v>19</v>
      </c>
      <c r="K1336" s="55" t="str">
        <f t="shared" si="74"/>
        <v>MPox</v>
      </c>
      <c r="M1336" s="40"/>
    </row>
    <row r="1337">
      <c r="A1337" s="29"/>
      <c r="B1337" s="53" t="str">
        <f>IFERROR(__xludf.DUMMYFUNCTION("""COMPUTED_VALUE"""),"Clipperton Island                    ")</f>
        <v>Clipperton Island                    </v>
      </c>
      <c r="C1337" s="29" t="str">
        <f>IFERROR(__xludf.DUMMYFUNCTION("""COMPUTED_VALUE"""),"GAZ:00005838")</f>
        <v>GAZ:00005838</v>
      </c>
      <c r="D1337" s="29" t="str">
        <f>IFERROR(__xludf.DUMMYFUNCTION("""COMPUTED_VALUE"""),"A nine-square km coral atoll in the North Pacific Ocean, southwest of Mexico and west of Costa Rica.")</f>
        <v>A nine-square km coral atoll in the North Pacific Ocean, southwest of Mexico and west of Costa Rica.</v>
      </c>
      <c r="E1337" s="29"/>
      <c r="F1337" s="29"/>
      <c r="G1337" s="29"/>
      <c r="H1337" s="56" t="s">
        <v>19</v>
      </c>
      <c r="I1337" s="56" t="s">
        <v>19</v>
      </c>
      <c r="J1337" s="56" t="s">
        <v>19</v>
      </c>
      <c r="K1337" s="55" t="str">
        <f t="shared" si="74"/>
        <v>MPox</v>
      </c>
      <c r="M1337" s="40"/>
    </row>
    <row r="1338">
      <c r="A1338" s="29"/>
      <c r="B1338" s="53" t="str">
        <f>IFERROR(__xludf.DUMMYFUNCTION("""COMPUTED_VALUE"""),"Cocos Islands                    ")</f>
        <v>Cocos Islands                    </v>
      </c>
      <c r="C1338" s="29" t="str">
        <f>IFERROR(__xludf.DUMMYFUNCTION("""COMPUTED_VALUE"""),"GAZ:00009721")</f>
        <v>GAZ:00009721</v>
      </c>
      <c r="D1338"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338" s="29"/>
      <c r="F1338" s="29"/>
      <c r="G1338" s="29"/>
      <c r="H1338" s="56" t="s">
        <v>19</v>
      </c>
      <c r="I1338" s="56" t="s">
        <v>19</v>
      </c>
      <c r="J1338" s="56" t="s">
        <v>19</v>
      </c>
      <c r="K1338" s="55" t="str">
        <f t="shared" si="74"/>
        <v>MPox</v>
      </c>
      <c r="M1338" s="40"/>
    </row>
    <row r="1339">
      <c r="A1339" s="29"/>
      <c r="B1339" s="53" t="str">
        <f>IFERROR(__xludf.DUMMYFUNCTION("""COMPUTED_VALUE"""),"Colombia                    ")</f>
        <v>Colombia                    </v>
      </c>
      <c r="C1339" s="29" t="str">
        <f>IFERROR(__xludf.DUMMYFUNCTION("""COMPUTED_VALUE"""),"GAZ:00002929")</f>
        <v>GAZ:00002929</v>
      </c>
      <c r="D1339"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339" s="29"/>
      <c r="F1339" s="29"/>
      <c r="G1339" s="29"/>
      <c r="H1339" s="56" t="s">
        <v>19</v>
      </c>
      <c r="I1339" s="56" t="s">
        <v>19</v>
      </c>
      <c r="J1339" s="56" t="s">
        <v>19</v>
      </c>
      <c r="K1339" s="55" t="str">
        <f t="shared" si="74"/>
        <v>MPox</v>
      </c>
      <c r="M1339" s="40"/>
    </row>
    <row r="1340">
      <c r="A1340" s="29"/>
      <c r="B1340" s="53" t="str">
        <f>IFERROR(__xludf.DUMMYFUNCTION("""COMPUTED_VALUE"""),"Comoros                    ")</f>
        <v>Comoros                    </v>
      </c>
      <c r="C1340" s="29" t="str">
        <f>IFERROR(__xludf.DUMMYFUNCTION("""COMPUTED_VALUE"""),"GAZ:00005820")</f>
        <v>GAZ:00005820</v>
      </c>
      <c r="D1340"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340" s="29"/>
      <c r="F1340" s="29"/>
      <c r="G1340" s="29"/>
      <c r="H1340" s="56" t="s">
        <v>19</v>
      </c>
      <c r="I1340" s="56" t="s">
        <v>19</v>
      </c>
      <c r="J1340" s="56" t="s">
        <v>19</v>
      </c>
      <c r="K1340" s="55" t="str">
        <f t="shared" si="74"/>
        <v>MPox</v>
      </c>
      <c r="M1340" s="40"/>
    </row>
    <row r="1341">
      <c r="A1341" s="29"/>
      <c r="B1341" s="53" t="str">
        <f>IFERROR(__xludf.DUMMYFUNCTION("""COMPUTED_VALUE"""),"Cook Islands                    ")</f>
        <v>Cook Islands                    </v>
      </c>
      <c r="C1341" s="29" t="str">
        <f>IFERROR(__xludf.DUMMYFUNCTION("""COMPUTED_VALUE"""),"GAZ:00053798")</f>
        <v>GAZ:00053798</v>
      </c>
      <c r="D1341"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341" s="29"/>
      <c r="F1341" s="29"/>
      <c r="G1341" s="29"/>
      <c r="H1341" s="56" t="s">
        <v>19</v>
      </c>
      <c r="I1341" s="56" t="s">
        <v>19</v>
      </c>
      <c r="J1341" s="56" t="s">
        <v>19</v>
      </c>
      <c r="K1341" s="55" t="str">
        <f t="shared" si="74"/>
        <v>MPox</v>
      </c>
      <c r="M1341" s="40"/>
    </row>
    <row r="1342">
      <c r="A1342" s="29"/>
      <c r="B1342" s="53" t="str">
        <f>IFERROR(__xludf.DUMMYFUNCTION("""COMPUTED_VALUE"""),"Coral Sea Islands                    ")</f>
        <v>Coral Sea Islands                    </v>
      </c>
      <c r="C1342" s="29" t="str">
        <f>IFERROR(__xludf.DUMMYFUNCTION("""COMPUTED_VALUE"""),"GAZ:00005917")</f>
        <v>GAZ:00005917</v>
      </c>
      <c r="D1342"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342" s="29"/>
      <c r="F1342" s="29"/>
      <c r="G1342" s="29"/>
      <c r="H1342" s="56" t="s">
        <v>19</v>
      </c>
      <c r="I1342" s="56" t="s">
        <v>19</v>
      </c>
      <c r="J1342" s="56" t="s">
        <v>19</v>
      </c>
      <c r="K1342" s="55" t="str">
        <f t="shared" si="74"/>
        <v>MPox</v>
      </c>
      <c r="M1342" s="40"/>
    </row>
    <row r="1343">
      <c r="A1343" s="29"/>
      <c r="B1343" s="53" t="str">
        <f>IFERROR(__xludf.DUMMYFUNCTION("""COMPUTED_VALUE"""),"Costa Rica                    ")</f>
        <v>Costa Rica                    </v>
      </c>
      <c r="C1343" s="29" t="str">
        <f>IFERROR(__xludf.DUMMYFUNCTION("""COMPUTED_VALUE"""),"GAZ:00002901")</f>
        <v>GAZ:00002901</v>
      </c>
      <c r="D1343"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343" s="29"/>
      <c r="F1343" s="29"/>
      <c r="G1343" s="29"/>
      <c r="H1343" s="56" t="s">
        <v>19</v>
      </c>
      <c r="I1343" s="56" t="s">
        <v>19</v>
      </c>
      <c r="J1343" s="56" t="s">
        <v>19</v>
      </c>
      <c r="K1343" s="55" t="str">
        <f t="shared" si="74"/>
        <v>MPox</v>
      </c>
      <c r="M1343" s="40"/>
    </row>
    <row r="1344">
      <c r="A1344" s="29"/>
      <c r="B1344" s="53" t="str">
        <f>IFERROR(__xludf.DUMMYFUNCTION("""COMPUTED_VALUE"""),"Cote d'Ivoire                    ")</f>
        <v>Cote d'Ivoire                    </v>
      </c>
      <c r="C1344" s="29" t="str">
        <f>IFERROR(__xludf.DUMMYFUNCTION("""COMPUTED_VALUE"""),"GAZ:00000906")</f>
        <v>GAZ:00000906</v>
      </c>
      <c r="D1344"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344" s="29"/>
      <c r="F1344" s="29"/>
      <c r="G1344" s="29"/>
      <c r="H1344" s="56" t="s">
        <v>19</v>
      </c>
      <c r="I1344" s="56" t="s">
        <v>19</v>
      </c>
      <c r="J1344" s="56" t="s">
        <v>19</v>
      </c>
      <c r="K1344" s="55" t="str">
        <f t="shared" si="74"/>
        <v>MPox</v>
      </c>
      <c r="M1344" s="40"/>
    </row>
    <row r="1345">
      <c r="A1345" s="29"/>
      <c r="B1345" s="53" t="str">
        <f>IFERROR(__xludf.DUMMYFUNCTION("""COMPUTED_VALUE"""),"Croatia                    ")</f>
        <v>Croatia                    </v>
      </c>
      <c r="C1345" s="29" t="str">
        <f>IFERROR(__xludf.DUMMYFUNCTION("""COMPUTED_VALUE"""),"GAZ:00002719")</f>
        <v>GAZ:00002719</v>
      </c>
      <c r="D1345"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345" s="29"/>
      <c r="F1345" s="29"/>
      <c r="G1345" s="29"/>
      <c r="H1345" s="56" t="s">
        <v>19</v>
      </c>
      <c r="I1345" s="56" t="s">
        <v>19</v>
      </c>
      <c r="J1345" s="56" t="s">
        <v>19</v>
      </c>
      <c r="K1345" s="55" t="str">
        <f t="shared" si="74"/>
        <v>MPox</v>
      </c>
      <c r="M1345" s="40"/>
    </row>
    <row r="1346">
      <c r="A1346" s="29"/>
      <c r="B1346" s="53" t="str">
        <f>IFERROR(__xludf.DUMMYFUNCTION("""COMPUTED_VALUE"""),"Cuba                    ")</f>
        <v>Cuba                    </v>
      </c>
      <c r="C1346" s="29" t="str">
        <f>IFERROR(__xludf.DUMMYFUNCTION("""COMPUTED_VALUE"""),"GAZ:00003762")</f>
        <v>GAZ:00003762</v>
      </c>
      <c r="D1346"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346" s="29"/>
      <c r="F1346" s="29"/>
      <c r="G1346" s="29"/>
      <c r="H1346" s="56" t="s">
        <v>19</v>
      </c>
      <c r="I1346" s="56" t="s">
        <v>19</v>
      </c>
      <c r="J1346" s="56" t="s">
        <v>19</v>
      </c>
      <c r="K1346" s="55" t="str">
        <f t="shared" si="74"/>
        <v>MPox</v>
      </c>
      <c r="M1346" s="40"/>
    </row>
    <row r="1347">
      <c r="A1347" s="29"/>
      <c r="B1347" s="53" t="str">
        <f>IFERROR(__xludf.DUMMYFUNCTION("""COMPUTED_VALUE"""),"Curacao                    ")</f>
        <v>Curacao                    </v>
      </c>
      <c r="C1347" s="29" t="str">
        <f>IFERROR(__xludf.DUMMYFUNCTION("""COMPUTED_VALUE"""),"GAZ:00012582")</f>
        <v>GAZ:00012582</v>
      </c>
      <c r="D1347" s="29" t="str">
        <f>IFERROR(__xludf.DUMMYFUNCTION("""COMPUTED_VALUE"""),"One of five island areas of the Netherlands Antilles.")</f>
        <v>One of five island areas of the Netherlands Antilles.</v>
      </c>
      <c r="E1347" s="29"/>
      <c r="F1347" s="29"/>
      <c r="G1347" s="29"/>
      <c r="H1347" s="56" t="s">
        <v>19</v>
      </c>
      <c r="I1347" s="56" t="s">
        <v>19</v>
      </c>
      <c r="J1347" s="56" t="s">
        <v>19</v>
      </c>
      <c r="K1347" s="55" t="str">
        <f t="shared" si="74"/>
        <v>MPox</v>
      </c>
      <c r="M1347" s="40"/>
    </row>
    <row r="1348">
      <c r="A1348" s="29"/>
      <c r="B1348" s="53" t="str">
        <f>IFERROR(__xludf.DUMMYFUNCTION("""COMPUTED_VALUE"""),"Cyprus                    ")</f>
        <v>Cyprus                    </v>
      </c>
      <c r="C1348" s="29" t="str">
        <f>IFERROR(__xludf.DUMMYFUNCTION("""COMPUTED_VALUE"""),"GAZ:00004006")</f>
        <v>GAZ:00004006</v>
      </c>
      <c r="D1348"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348" s="29"/>
      <c r="F1348" s="29"/>
      <c r="G1348" s="29"/>
      <c r="H1348" s="56" t="s">
        <v>19</v>
      </c>
      <c r="I1348" s="56" t="s">
        <v>19</v>
      </c>
      <c r="J1348" s="56" t="s">
        <v>19</v>
      </c>
      <c r="K1348" s="55" t="str">
        <f t="shared" si="74"/>
        <v>MPox</v>
      </c>
      <c r="M1348" s="40"/>
    </row>
    <row r="1349">
      <c r="A1349" s="29"/>
      <c r="B1349" s="53" t="str">
        <f>IFERROR(__xludf.DUMMYFUNCTION("""COMPUTED_VALUE"""),"Czech Republic                    ")</f>
        <v>Czech Republic                    </v>
      </c>
      <c r="C1349" s="29" t="str">
        <f>IFERROR(__xludf.DUMMYFUNCTION("""COMPUTED_VALUE"""),"GAZ:00002954")</f>
        <v>GAZ:00002954</v>
      </c>
      <c r="D1349"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349" s="29"/>
      <c r="F1349" s="29"/>
      <c r="G1349" s="29"/>
      <c r="H1349" s="56" t="s">
        <v>19</v>
      </c>
      <c r="I1349" s="56" t="s">
        <v>19</v>
      </c>
      <c r="J1349" s="56" t="s">
        <v>19</v>
      </c>
      <c r="K1349" s="55" t="str">
        <f t="shared" si="74"/>
        <v>MPox</v>
      </c>
      <c r="M1349" s="40"/>
    </row>
    <row r="1350">
      <c r="A1350" s="29"/>
      <c r="B1350" s="53" t="str">
        <f>IFERROR(__xludf.DUMMYFUNCTION("""COMPUTED_VALUE"""),"Democratic Republic of the Congo                    ")</f>
        <v>Democratic Republic of the Congo                    </v>
      </c>
      <c r="C1350" s="29" t="str">
        <f>IFERROR(__xludf.DUMMYFUNCTION("""COMPUTED_VALUE"""),"GAZ:00001086")</f>
        <v>GAZ:00001086</v>
      </c>
      <c r="D1350"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350" s="29"/>
      <c r="F1350" s="29"/>
      <c r="G1350" s="29"/>
      <c r="H1350" s="56" t="s">
        <v>19</v>
      </c>
      <c r="I1350" s="56" t="s">
        <v>19</v>
      </c>
      <c r="J1350" s="56" t="s">
        <v>19</v>
      </c>
      <c r="K1350" s="55" t="str">
        <f t="shared" si="74"/>
        <v>MPox</v>
      </c>
      <c r="M1350" s="40"/>
    </row>
    <row r="1351">
      <c r="A1351" s="29"/>
      <c r="B1351" s="53" t="str">
        <f>IFERROR(__xludf.DUMMYFUNCTION("""COMPUTED_VALUE"""),"Denmark                    ")</f>
        <v>Denmark                    </v>
      </c>
      <c r="C1351" s="29" t="str">
        <f>IFERROR(__xludf.DUMMYFUNCTION("""COMPUTED_VALUE"""),"GAZ:00005852")</f>
        <v>GAZ:00005852</v>
      </c>
      <c r="D1351"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351" s="29"/>
      <c r="F1351" s="29"/>
      <c r="G1351" s="29"/>
      <c r="H1351" s="56" t="s">
        <v>19</v>
      </c>
      <c r="I1351" s="56" t="s">
        <v>19</v>
      </c>
      <c r="J1351" s="56" t="s">
        <v>19</v>
      </c>
      <c r="K1351" s="55" t="str">
        <f t="shared" si="74"/>
        <v>MPox</v>
      </c>
      <c r="M1351" s="40"/>
    </row>
    <row r="1352">
      <c r="A1352" s="29"/>
      <c r="B1352" s="53" t="str">
        <f>IFERROR(__xludf.DUMMYFUNCTION("""COMPUTED_VALUE"""),"Djibouti                    ")</f>
        <v>Djibouti                    </v>
      </c>
      <c r="C1352" s="29" t="str">
        <f>IFERROR(__xludf.DUMMYFUNCTION("""COMPUTED_VALUE"""),"GAZ:00000582")</f>
        <v>GAZ:00000582</v>
      </c>
      <c r="D1352"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352" s="29"/>
      <c r="F1352" s="29"/>
      <c r="G1352" s="29"/>
      <c r="H1352" s="56" t="s">
        <v>19</v>
      </c>
      <c r="I1352" s="56" t="s">
        <v>19</v>
      </c>
      <c r="J1352" s="56" t="s">
        <v>19</v>
      </c>
      <c r="K1352" s="55" t="str">
        <f t="shared" si="74"/>
        <v>MPox</v>
      </c>
      <c r="M1352" s="40"/>
    </row>
    <row r="1353">
      <c r="A1353" s="29"/>
      <c r="B1353" s="53" t="str">
        <f>IFERROR(__xludf.DUMMYFUNCTION("""COMPUTED_VALUE"""),"Dominica                    ")</f>
        <v>Dominica                    </v>
      </c>
      <c r="C1353" s="29" t="str">
        <f>IFERROR(__xludf.DUMMYFUNCTION("""COMPUTED_VALUE"""),"GAZ:00006890")</f>
        <v>GAZ:00006890</v>
      </c>
      <c r="D1353" s="29" t="str">
        <f>IFERROR(__xludf.DUMMYFUNCTION("""COMPUTED_VALUE"""),"An island nation in the Caribbean Sea. Dominica is divided into ten parishes.")</f>
        <v>An island nation in the Caribbean Sea. Dominica is divided into ten parishes.</v>
      </c>
      <c r="E1353" s="29"/>
      <c r="F1353" s="29"/>
      <c r="G1353" s="29"/>
      <c r="H1353" s="56" t="s">
        <v>19</v>
      </c>
      <c r="I1353" s="56" t="s">
        <v>19</v>
      </c>
      <c r="J1353" s="56" t="s">
        <v>19</v>
      </c>
      <c r="K1353" s="55" t="str">
        <f t="shared" si="74"/>
        <v>MPox</v>
      </c>
      <c r="M1353" s="40"/>
    </row>
    <row r="1354">
      <c r="A1354" s="29"/>
      <c r="B1354" s="53" t="str">
        <f>IFERROR(__xludf.DUMMYFUNCTION("""COMPUTED_VALUE"""),"Dominican Republic                    ")</f>
        <v>Dominican Republic                    </v>
      </c>
      <c r="C1354" s="29" t="str">
        <f>IFERROR(__xludf.DUMMYFUNCTION("""COMPUTED_VALUE"""),"GAZ:00003952")</f>
        <v>GAZ:00003952</v>
      </c>
      <c r="D1354"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354" s="29"/>
      <c r="F1354" s="29"/>
      <c r="G1354" s="29"/>
      <c r="H1354" s="56" t="s">
        <v>19</v>
      </c>
      <c r="I1354" s="56" t="s">
        <v>19</v>
      </c>
      <c r="J1354" s="56" t="s">
        <v>19</v>
      </c>
      <c r="K1354" s="55" t="str">
        <f t="shared" si="74"/>
        <v>MPox</v>
      </c>
      <c r="M1354" s="40"/>
    </row>
    <row r="1355">
      <c r="A1355" s="29"/>
      <c r="B1355" s="53" t="str">
        <f>IFERROR(__xludf.DUMMYFUNCTION("""COMPUTED_VALUE"""),"Ecuador                    ")</f>
        <v>Ecuador                    </v>
      </c>
      <c r="C1355" s="29" t="str">
        <f>IFERROR(__xludf.DUMMYFUNCTION("""COMPUTED_VALUE"""),"GAZ:00002912")</f>
        <v>GAZ:00002912</v>
      </c>
      <c r="D1355"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355" s="29"/>
      <c r="F1355" s="29"/>
      <c r="G1355" s="29"/>
      <c r="H1355" s="56" t="s">
        <v>19</v>
      </c>
      <c r="I1355" s="56" t="s">
        <v>19</v>
      </c>
      <c r="J1355" s="56" t="s">
        <v>19</v>
      </c>
      <c r="K1355" s="55" t="str">
        <f t="shared" si="74"/>
        <v>MPox</v>
      </c>
      <c r="M1355" s="40"/>
    </row>
    <row r="1356">
      <c r="A1356" s="29"/>
      <c r="B1356" s="53" t="str">
        <f>IFERROR(__xludf.DUMMYFUNCTION("""COMPUTED_VALUE"""),"Egypt                    ")</f>
        <v>Egypt                    </v>
      </c>
      <c r="C1356" s="29" t="str">
        <f>IFERROR(__xludf.DUMMYFUNCTION("""COMPUTED_VALUE"""),"GAZ:00003934")</f>
        <v>GAZ:00003934</v>
      </c>
      <c r="D1356"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356" s="29"/>
      <c r="F1356" s="29"/>
      <c r="G1356" s="29"/>
      <c r="H1356" s="56" t="s">
        <v>19</v>
      </c>
      <c r="I1356" s="56" t="s">
        <v>19</v>
      </c>
      <c r="J1356" s="56" t="s">
        <v>19</v>
      </c>
      <c r="K1356" s="55" t="str">
        <f t="shared" si="74"/>
        <v>MPox</v>
      </c>
      <c r="M1356" s="40"/>
    </row>
    <row r="1357">
      <c r="A1357" s="29"/>
      <c r="B1357" s="53" t="str">
        <f>IFERROR(__xludf.DUMMYFUNCTION("""COMPUTED_VALUE"""),"El Salvador                    ")</f>
        <v>El Salvador                    </v>
      </c>
      <c r="C1357" s="29" t="str">
        <f>IFERROR(__xludf.DUMMYFUNCTION("""COMPUTED_VALUE"""),"GAZ:00002935")</f>
        <v>GAZ:00002935</v>
      </c>
      <c r="D1357"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357" s="29"/>
      <c r="F1357" s="29"/>
      <c r="G1357" s="29"/>
      <c r="H1357" s="56" t="s">
        <v>19</v>
      </c>
      <c r="I1357" s="56" t="s">
        <v>19</v>
      </c>
      <c r="J1357" s="56" t="s">
        <v>19</v>
      </c>
      <c r="K1357" s="55" t="str">
        <f t="shared" si="74"/>
        <v>MPox</v>
      </c>
      <c r="M1357" s="40"/>
    </row>
    <row r="1358">
      <c r="A1358" s="29"/>
      <c r="B1358" s="53" t="str">
        <f>IFERROR(__xludf.DUMMYFUNCTION("""COMPUTED_VALUE"""),"Equatorial Guinea                    ")</f>
        <v>Equatorial Guinea                    </v>
      </c>
      <c r="C1358" s="29" t="str">
        <f>IFERROR(__xludf.DUMMYFUNCTION("""COMPUTED_VALUE"""),"GAZ:00001091")</f>
        <v>GAZ:00001091</v>
      </c>
      <c r="D1358"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358" s="29"/>
      <c r="F1358" s="29"/>
      <c r="G1358" s="29"/>
      <c r="H1358" s="56" t="s">
        <v>19</v>
      </c>
      <c r="I1358" s="56" t="s">
        <v>19</v>
      </c>
      <c r="J1358" s="56" t="s">
        <v>19</v>
      </c>
      <c r="K1358" s="55" t="str">
        <f t="shared" si="74"/>
        <v>MPox</v>
      </c>
      <c r="M1358" s="40"/>
    </row>
    <row r="1359">
      <c r="A1359" s="29"/>
      <c r="B1359" s="53" t="str">
        <f>IFERROR(__xludf.DUMMYFUNCTION("""COMPUTED_VALUE"""),"Eritrea                    ")</f>
        <v>Eritrea                    </v>
      </c>
      <c r="C1359" s="29" t="str">
        <f>IFERROR(__xludf.DUMMYFUNCTION("""COMPUTED_VALUE"""),"GAZ:00000581")</f>
        <v>GAZ:00000581</v>
      </c>
      <c r="D1359"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359" s="29"/>
      <c r="F1359" s="29"/>
      <c r="G1359" s="29"/>
      <c r="H1359" s="56" t="s">
        <v>19</v>
      </c>
      <c r="I1359" s="56" t="s">
        <v>19</v>
      </c>
      <c r="J1359" s="56" t="s">
        <v>19</v>
      </c>
      <c r="K1359" s="55" t="str">
        <f t="shared" si="74"/>
        <v>MPox</v>
      </c>
      <c r="M1359" s="40"/>
    </row>
    <row r="1360">
      <c r="A1360" s="29"/>
      <c r="B1360" s="53" t="str">
        <f>IFERROR(__xludf.DUMMYFUNCTION("""COMPUTED_VALUE"""),"Estonia                    ")</f>
        <v>Estonia                    </v>
      </c>
      <c r="C1360" s="29" t="str">
        <f>IFERROR(__xludf.DUMMYFUNCTION("""COMPUTED_VALUE"""),"GAZ:00002959")</f>
        <v>GAZ:00002959</v>
      </c>
      <c r="D1360"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360" s="29"/>
      <c r="F1360" s="29"/>
      <c r="G1360" s="29"/>
      <c r="H1360" s="56" t="s">
        <v>19</v>
      </c>
      <c r="I1360" s="56" t="s">
        <v>19</v>
      </c>
      <c r="J1360" s="56" t="s">
        <v>19</v>
      </c>
      <c r="K1360" s="55" t="str">
        <f t="shared" si="74"/>
        <v>MPox</v>
      </c>
      <c r="M1360" s="40"/>
    </row>
    <row r="1361">
      <c r="A1361" s="29"/>
      <c r="B1361" s="53" t="str">
        <f>IFERROR(__xludf.DUMMYFUNCTION("""COMPUTED_VALUE"""),"Eswatini                    ")</f>
        <v>Eswatini                    </v>
      </c>
      <c r="C1361" s="29" t="str">
        <f>IFERROR(__xludf.DUMMYFUNCTION("""COMPUTED_VALUE"""),"GAZ:00001099")</f>
        <v>GAZ:00001099</v>
      </c>
      <c r="D1361"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361" s="29"/>
      <c r="F1361" s="29"/>
      <c r="G1361" s="29"/>
      <c r="H1361" s="56" t="s">
        <v>19</v>
      </c>
      <c r="I1361" s="56" t="s">
        <v>19</v>
      </c>
      <c r="J1361" s="56" t="s">
        <v>19</v>
      </c>
      <c r="K1361" s="55" t="str">
        <f t="shared" si="74"/>
        <v>MPox</v>
      </c>
      <c r="M1361" s="40"/>
    </row>
    <row r="1362">
      <c r="A1362" s="29"/>
      <c r="B1362" s="53" t="str">
        <f>IFERROR(__xludf.DUMMYFUNCTION("""COMPUTED_VALUE"""),"Ethiopia                    ")</f>
        <v>Ethiopia                    </v>
      </c>
      <c r="C1362" s="29" t="str">
        <f>IFERROR(__xludf.DUMMYFUNCTION("""COMPUTED_VALUE"""),"GAZ:00000567")</f>
        <v>GAZ:00000567</v>
      </c>
      <c r="D1362"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362" s="29"/>
      <c r="F1362" s="29"/>
      <c r="G1362" s="29"/>
      <c r="H1362" s="56" t="s">
        <v>19</v>
      </c>
      <c r="I1362" s="56" t="s">
        <v>19</v>
      </c>
      <c r="J1362" s="56" t="s">
        <v>19</v>
      </c>
      <c r="K1362" s="55" t="str">
        <f t="shared" si="74"/>
        <v>MPox</v>
      </c>
      <c r="M1362" s="40"/>
    </row>
    <row r="1363">
      <c r="A1363" s="29"/>
      <c r="B1363" s="53" t="str">
        <f>IFERROR(__xludf.DUMMYFUNCTION("""COMPUTED_VALUE"""),"Europa Island                    ")</f>
        <v>Europa Island                    </v>
      </c>
      <c r="C1363" s="29" t="str">
        <f>IFERROR(__xludf.DUMMYFUNCTION("""COMPUTED_VALUE"""),"GAZ:00005811")</f>
        <v>GAZ:00005811</v>
      </c>
      <c r="D1363"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363" s="29"/>
      <c r="F1363" s="29"/>
      <c r="G1363" s="29"/>
      <c r="H1363" s="56" t="s">
        <v>19</v>
      </c>
      <c r="I1363" s="56" t="s">
        <v>19</v>
      </c>
      <c r="J1363" s="56" t="s">
        <v>19</v>
      </c>
      <c r="K1363" s="55" t="str">
        <f t="shared" si="74"/>
        <v>MPox</v>
      </c>
      <c r="M1363" s="40"/>
    </row>
    <row r="1364">
      <c r="A1364" s="29"/>
      <c r="B1364" s="53" t="str">
        <f>IFERROR(__xludf.DUMMYFUNCTION("""COMPUTED_VALUE"""),"Falkland Islands (Islas Malvinas)                    ")</f>
        <v>Falkland Islands (Islas Malvinas)                    </v>
      </c>
      <c r="C1364" s="29" t="str">
        <f>IFERROR(__xludf.DUMMYFUNCTION("""COMPUTED_VALUE"""),"GAZ:00001412")</f>
        <v>GAZ:00001412</v>
      </c>
      <c r="D1364"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364" s="29"/>
      <c r="F1364" s="29"/>
      <c r="G1364" s="29"/>
      <c r="H1364" s="56" t="s">
        <v>19</v>
      </c>
      <c r="I1364" s="56" t="s">
        <v>19</v>
      </c>
      <c r="J1364" s="56" t="s">
        <v>19</v>
      </c>
      <c r="K1364" s="55" t="str">
        <f t="shared" si="74"/>
        <v>MPox</v>
      </c>
      <c r="M1364" s="40"/>
    </row>
    <row r="1365">
      <c r="A1365" s="29"/>
      <c r="B1365" s="53" t="str">
        <f>IFERROR(__xludf.DUMMYFUNCTION("""COMPUTED_VALUE"""),"Faroe Islands                    ")</f>
        <v>Faroe Islands                    </v>
      </c>
      <c r="C1365" s="29" t="str">
        <f>IFERROR(__xludf.DUMMYFUNCTION("""COMPUTED_VALUE"""),"GAZ:00059206")</f>
        <v>GAZ:00059206</v>
      </c>
      <c r="D1365"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E1365" s="29"/>
      <c r="F1365" s="29"/>
      <c r="G1365" s="29"/>
      <c r="H1365" s="56" t="s">
        <v>19</v>
      </c>
      <c r="I1365" s="56" t="s">
        <v>19</v>
      </c>
      <c r="J1365" s="56" t="s">
        <v>19</v>
      </c>
      <c r="K1365" s="55" t="str">
        <f t="shared" si="74"/>
        <v>MPox</v>
      </c>
      <c r="M1365" s="40"/>
    </row>
    <row r="1366">
      <c r="A1366" s="29"/>
      <c r="B1366" s="53" t="str">
        <f>IFERROR(__xludf.DUMMYFUNCTION("""COMPUTED_VALUE"""),"Fiji                    ")</f>
        <v>Fiji                    </v>
      </c>
      <c r="C1366" s="29" t="str">
        <f>IFERROR(__xludf.DUMMYFUNCTION("""COMPUTED_VALUE"""),"GAZ:00006891")</f>
        <v>GAZ:00006891</v>
      </c>
      <c r="D1366"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E1366" s="29"/>
      <c r="F1366" s="29"/>
      <c r="G1366" s="29"/>
      <c r="H1366" s="56" t="s">
        <v>19</v>
      </c>
      <c r="I1366" s="56" t="s">
        <v>19</v>
      </c>
      <c r="J1366" s="56" t="s">
        <v>19</v>
      </c>
      <c r="K1366" s="55" t="str">
        <f t="shared" si="74"/>
        <v>MPox</v>
      </c>
      <c r="M1366" s="40"/>
    </row>
    <row r="1367">
      <c r="A1367" s="29"/>
      <c r="B1367" s="53" t="str">
        <f>IFERROR(__xludf.DUMMYFUNCTION("""COMPUTED_VALUE"""),"Finland                    ")</f>
        <v>Finland                    </v>
      </c>
      <c r="C1367" s="29" t="str">
        <f>IFERROR(__xludf.DUMMYFUNCTION("""COMPUTED_VALUE"""),"GAZ:00002937")</f>
        <v>GAZ:00002937</v>
      </c>
      <c r="D1367"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E1367" s="29"/>
      <c r="F1367" s="29"/>
      <c r="G1367" s="29"/>
      <c r="H1367" s="56" t="s">
        <v>19</v>
      </c>
      <c r="I1367" s="56" t="s">
        <v>19</v>
      </c>
      <c r="J1367" s="56" t="s">
        <v>19</v>
      </c>
      <c r="K1367" s="55" t="str">
        <f t="shared" si="74"/>
        <v>MPox</v>
      </c>
      <c r="M1367" s="40"/>
    </row>
    <row r="1368">
      <c r="A1368" s="29"/>
      <c r="B1368" s="53" t="str">
        <f>IFERROR(__xludf.DUMMYFUNCTION("""COMPUTED_VALUE"""),"France                    ")</f>
        <v>France                    </v>
      </c>
      <c r="C1368" s="29" t="str">
        <f>IFERROR(__xludf.DUMMYFUNCTION("""COMPUTED_VALUE"""),"GAZ:00003940")</f>
        <v>GAZ:00003940</v>
      </c>
      <c r="D1368"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E1368" s="29"/>
      <c r="F1368" s="29"/>
      <c r="G1368" s="29"/>
      <c r="H1368" s="56" t="s">
        <v>19</v>
      </c>
      <c r="I1368" s="56" t="s">
        <v>19</v>
      </c>
      <c r="J1368" s="56" t="s">
        <v>19</v>
      </c>
      <c r="K1368" s="55" t="str">
        <f t="shared" si="74"/>
        <v>MPox</v>
      </c>
      <c r="M1368" s="40"/>
    </row>
    <row r="1369">
      <c r="A1369" s="29"/>
      <c r="B1369" s="53" t="str">
        <f>IFERROR(__xludf.DUMMYFUNCTION("""COMPUTED_VALUE"""),"French Guiana                    ")</f>
        <v>French Guiana                    </v>
      </c>
      <c r="C1369" s="29" t="str">
        <f>IFERROR(__xludf.DUMMYFUNCTION("""COMPUTED_VALUE"""),"GAZ:00002516")</f>
        <v>GAZ:00002516</v>
      </c>
      <c r="D1369"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E1369" s="29"/>
      <c r="F1369" s="29"/>
      <c r="G1369" s="29"/>
      <c r="H1369" s="56" t="s">
        <v>19</v>
      </c>
      <c r="I1369" s="56" t="s">
        <v>19</v>
      </c>
      <c r="J1369" s="56" t="s">
        <v>19</v>
      </c>
      <c r="K1369" s="55" t="str">
        <f t="shared" si="74"/>
        <v>MPox</v>
      </c>
      <c r="M1369" s="40"/>
    </row>
    <row r="1370">
      <c r="A1370" s="29"/>
      <c r="B1370" s="53" t="str">
        <f>IFERROR(__xludf.DUMMYFUNCTION("""COMPUTED_VALUE"""),"French Polynesia                    ")</f>
        <v>French Polynesia                    </v>
      </c>
      <c r="C1370" s="29" t="str">
        <f>IFERROR(__xludf.DUMMYFUNCTION("""COMPUTED_VALUE"""),"GAZ:00002918")</f>
        <v>GAZ:00002918</v>
      </c>
      <c r="D1370"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E1370" s="29"/>
      <c r="F1370" s="29"/>
      <c r="G1370" s="29"/>
      <c r="H1370" s="56" t="s">
        <v>19</v>
      </c>
      <c r="I1370" s="56" t="s">
        <v>19</v>
      </c>
      <c r="J1370" s="56" t="s">
        <v>19</v>
      </c>
      <c r="K1370" s="55" t="str">
        <f t="shared" si="74"/>
        <v>MPox</v>
      </c>
      <c r="M1370" s="40"/>
    </row>
    <row r="1371">
      <c r="A1371" s="29"/>
      <c r="B1371" s="53" t="str">
        <f>IFERROR(__xludf.DUMMYFUNCTION("""COMPUTED_VALUE"""),"French Southern and Antarctic Lands                    ")</f>
        <v>French Southern and Antarctic Lands                    </v>
      </c>
      <c r="C1371" s="29" t="str">
        <f>IFERROR(__xludf.DUMMYFUNCTION("""COMPUTED_VALUE"""),"GAZ:00003753")</f>
        <v>GAZ:00003753</v>
      </c>
      <c r="D1371"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E1371" s="29"/>
      <c r="F1371" s="29"/>
      <c r="G1371" s="29"/>
      <c r="H1371" s="56" t="s">
        <v>19</v>
      </c>
      <c r="I1371" s="56" t="s">
        <v>19</v>
      </c>
      <c r="J1371" s="56" t="s">
        <v>19</v>
      </c>
      <c r="K1371" s="55" t="str">
        <f t="shared" si="74"/>
        <v>MPox</v>
      </c>
      <c r="M1371" s="40"/>
    </row>
    <row r="1372">
      <c r="A1372" s="29"/>
      <c r="B1372" s="53" t="str">
        <f>IFERROR(__xludf.DUMMYFUNCTION("""COMPUTED_VALUE"""),"Gabon                    ")</f>
        <v>Gabon                    </v>
      </c>
      <c r="C1372" s="29" t="str">
        <f>IFERROR(__xludf.DUMMYFUNCTION("""COMPUTED_VALUE"""),"GAZ:00001092")</f>
        <v>GAZ:00001092</v>
      </c>
      <c r="D1372"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E1372" s="29"/>
      <c r="F1372" s="29"/>
      <c r="G1372" s="29"/>
      <c r="H1372" s="56" t="s">
        <v>19</v>
      </c>
      <c r="I1372" s="56" t="s">
        <v>19</v>
      </c>
      <c r="J1372" s="56" t="s">
        <v>19</v>
      </c>
      <c r="K1372" s="55" t="str">
        <f t="shared" si="74"/>
        <v>MPox</v>
      </c>
      <c r="M1372" s="40"/>
    </row>
    <row r="1373">
      <c r="A1373" s="29"/>
      <c r="B1373" s="53" t="str">
        <f>IFERROR(__xludf.DUMMYFUNCTION("""COMPUTED_VALUE"""),"Gambia                    ")</f>
        <v>Gambia                    </v>
      </c>
      <c r="C1373" s="29" t="str">
        <f>IFERROR(__xludf.DUMMYFUNCTION("""COMPUTED_VALUE"""),"GAZ:00000907")</f>
        <v>GAZ:00000907</v>
      </c>
      <c r="D1373"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E1373" s="29"/>
      <c r="F1373" s="29"/>
      <c r="G1373" s="29"/>
      <c r="H1373" s="56" t="s">
        <v>19</v>
      </c>
      <c r="I1373" s="56" t="s">
        <v>19</v>
      </c>
      <c r="J1373" s="56" t="s">
        <v>19</v>
      </c>
      <c r="K1373" s="55" t="str">
        <f t="shared" si="74"/>
        <v>MPox</v>
      </c>
      <c r="M1373" s="40"/>
    </row>
    <row r="1374">
      <c r="A1374" s="29"/>
      <c r="B1374" s="53" t="str">
        <f>IFERROR(__xludf.DUMMYFUNCTION("""COMPUTED_VALUE"""),"Gaza Strip                    ")</f>
        <v>Gaza Strip                    </v>
      </c>
      <c r="C1374" s="29" t="str">
        <f>IFERROR(__xludf.DUMMYFUNCTION("""COMPUTED_VALUE"""),"GAZ:00009571")</f>
        <v>GAZ:00009571</v>
      </c>
      <c r="D1374"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E1374" s="29"/>
      <c r="F1374" s="29"/>
      <c r="G1374" s="29"/>
      <c r="H1374" s="56" t="s">
        <v>19</v>
      </c>
      <c r="I1374" s="56" t="s">
        <v>19</v>
      </c>
      <c r="J1374" s="56" t="s">
        <v>19</v>
      </c>
      <c r="K1374" s="55" t="str">
        <f t="shared" si="74"/>
        <v>MPox</v>
      </c>
      <c r="M1374" s="40"/>
    </row>
    <row r="1375">
      <c r="A1375" s="29"/>
      <c r="B1375" s="53" t="str">
        <f>IFERROR(__xludf.DUMMYFUNCTION("""COMPUTED_VALUE"""),"Georgia                    ")</f>
        <v>Georgia                    </v>
      </c>
      <c r="C1375" s="29" t="str">
        <f>IFERROR(__xludf.DUMMYFUNCTION("""COMPUTED_VALUE"""),"GAZ:00004942")</f>
        <v>GAZ:00004942</v>
      </c>
      <c r="D1375"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E1375" s="29"/>
      <c r="F1375" s="29"/>
      <c r="G1375" s="29"/>
      <c r="H1375" s="56" t="s">
        <v>19</v>
      </c>
      <c r="I1375" s="56" t="s">
        <v>19</v>
      </c>
      <c r="J1375" s="56" t="s">
        <v>19</v>
      </c>
      <c r="K1375" s="55" t="str">
        <f t="shared" si="74"/>
        <v>MPox</v>
      </c>
      <c r="M1375" s="40"/>
    </row>
    <row r="1376">
      <c r="A1376" s="29"/>
      <c r="B1376" s="53" t="str">
        <f>IFERROR(__xludf.DUMMYFUNCTION("""COMPUTED_VALUE"""),"Germany                    ")</f>
        <v>Germany                    </v>
      </c>
      <c r="C1376" s="29" t="str">
        <f>IFERROR(__xludf.DUMMYFUNCTION("""COMPUTED_VALUE"""),"GAZ:00002646")</f>
        <v>GAZ:00002646</v>
      </c>
      <c r="D1376"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E1376" s="29"/>
      <c r="F1376" s="29"/>
      <c r="G1376" s="29"/>
      <c r="H1376" s="56" t="s">
        <v>19</v>
      </c>
      <c r="I1376" s="56" t="s">
        <v>19</v>
      </c>
      <c r="J1376" s="56" t="s">
        <v>19</v>
      </c>
      <c r="K1376" s="55" t="str">
        <f t="shared" si="74"/>
        <v>MPox</v>
      </c>
      <c r="M1376" s="40"/>
    </row>
    <row r="1377">
      <c r="A1377" s="29"/>
      <c r="B1377" s="53" t="str">
        <f>IFERROR(__xludf.DUMMYFUNCTION("""COMPUTED_VALUE"""),"Ghana                    ")</f>
        <v>Ghana                    </v>
      </c>
      <c r="C1377" s="29" t="str">
        <f>IFERROR(__xludf.DUMMYFUNCTION("""COMPUTED_VALUE"""),"GAZ:00000908")</f>
        <v>GAZ:00000908</v>
      </c>
      <c r="D1377"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E1377" s="29"/>
      <c r="F1377" s="29"/>
      <c r="G1377" s="29"/>
      <c r="H1377" s="56" t="s">
        <v>19</v>
      </c>
      <c r="I1377" s="56" t="s">
        <v>19</v>
      </c>
      <c r="J1377" s="56" t="s">
        <v>19</v>
      </c>
      <c r="K1377" s="55" t="str">
        <f t="shared" si="74"/>
        <v>MPox</v>
      </c>
      <c r="M1377" s="40"/>
    </row>
    <row r="1378">
      <c r="A1378" s="29"/>
      <c r="B1378" s="53" t="str">
        <f>IFERROR(__xludf.DUMMYFUNCTION("""COMPUTED_VALUE"""),"Gibraltar                    ")</f>
        <v>Gibraltar                    </v>
      </c>
      <c r="C1378" s="29" t="str">
        <f>IFERROR(__xludf.DUMMYFUNCTION("""COMPUTED_VALUE"""),"GAZ:00003987")</f>
        <v>GAZ:00003987</v>
      </c>
      <c r="D1378"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E1378" s="29"/>
      <c r="F1378" s="29"/>
      <c r="G1378" s="29"/>
      <c r="H1378" s="56" t="s">
        <v>19</v>
      </c>
      <c r="I1378" s="56" t="s">
        <v>19</v>
      </c>
      <c r="J1378" s="56" t="s">
        <v>19</v>
      </c>
      <c r="K1378" s="55" t="str">
        <f t="shared" si="74"/>
        <v>MPox</v>
      </c>
      <c r="M1378" s="40"/>
    </row>
    <row r="1379">
      <c r="A1379" s="29"/>
      <c r="B1379" s="53" t="str">
        <f>IFERROR(__xludf.DUMMYFUNCTION("""COMPUTED_VALUE"""),"Glorioso Islands                    ")</f>
        <v>Glorioso Islands                    </v>
      </c>
      <c r="C1379" s="29" t="str">
        <f>IFERROR(__xludf.DUMMYFUNCTION("""COMPUTED_VALUE"""),"GAZ:00005808")</f>
        <v>GAZ:00005808</v>
      </c>
      <c r="D1379"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E1379" s="29"/>
      <c r="F1379" s="29"/>
      <c r="G1379" s="29"/>
      <c r="H1379" s="56" t="s">
        <v>19</v>
      </c>
      <c r="I1379" s="56" t="s">
        <v>19</v>
      </c>
      <c r="J1379" s="56" t="s">
        <v>19</v>
      </c>
      <c r="K1379" s="55" t="str">
        <f t="shared" si="74"/>
        <v>MPox</v>
      </c>
      <c r="M1379" s="40"/>
    </row>
    <row r="1380">
      <c r="A1380" s="29"/>
      <c r="B1380" s="53" t="str">
        <f>IFERROR(__xludf.DUMMYFUNCTION("""COMPUTED_VALUE"""),"Greece                    ")</f>
        <v>Greece                    </v>
      </c>
      <c r="C1380" s="29" t="str">
        <f>IFERROR(__xludf.DUMMYFUNCTION("""COMPUTED_VALUE"""),"GAZ:00002945")</f>
        <v>GAZ:00002945</v>
      </c>
      <c r="D1380"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E1380" s="29"/>
      <c r="F1380" s="29"/>
      <c r="G1380" s="29"/>
      <c r="H1380" s="56" t="s">
        <v>19</v>
      </c>
      <c r="I1380" s="56" t="s">
        <v>19</v>
      </c>
      <c r="J1380" s="56" t="s">
        <v>19</v>
      </c>
      <c r="K1380" s="55" t="str">
        <f t="shared" si="74"/>
        <v>MPox</v>
      </c>
      <c r="M1380" s="40"/>
    </row>
    <row r="1381">
      <c r="A1381" s="29"/>
      <c r="B1381" s="53" t="str">
        <f>IFERROR(__xludf.DUMMYFUNCTION("""COMPUTED_VALUE"""),"Greenland                    ")</f>
        <v>Greenland                    </v>
      </c>
      <c r="C1381" s="29" t="str">
        <f>IFERROR(__xludf.DUMMYFUNCTION("""COMPUTED_VALUE"""),"GAZ:00001507")</f>
        <v>GAZ:00001507</v>
      </c>
      <c r="D1381"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E1381" s="29"/>
      <c r="F1381" s="29"/>
      <c r="G1381" s="29"/>
      <c r="H1381" s="56" t="s">
        <v>19</v>
      </c>
      <c r="I1381" s="56" t="s">
        <v>19</v>
      </c>
      <c r="J1381" s="56" t="s">
        <v>19</v>
      </c>
      <c r="K1381" s="55" t="str">
        <f t="shared" si="74"/>
        <v>MPox</v>
      </c>
      <c r="M1381" s="40"/>
    </row>
    <row r="1382">
      <c r="A1382" s="29"/>
      <c r="B1382" s="53" t="str">
        <f>IFERROR(__xludf.DUMMYFUNCTION("""COMPUTED_VALUE"""),"Grenada                    ")</f>
        <v>Grenada                    </v>
      </c>
      <c r="C1382" s="29" t="str">
        <f>IFERROR(__xludf.DUMMYFUNCTION("""COMPUTED_VALUE"""),"GAZ:02000573")</f>
        <v>GAZ:02000573</v>
      </c>
      <c r="D1382"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E1382" s="29"/>
      <c r="F1382" s="29"/>
      <c r="G1382" s="29"/>
      <c r="H1382" s="56" t="s">
        <v>19</v>
      </c>
      <c r="I1382" s="56" t="s">
        <v>19</v>
      </c>
      <c r="J1382" s="56" t="s">
        <v>19</v>
      </c>
      <c r="K1382" s="55" t="str">
        <f t="shared" si="74"/>
        <v>MPox</v>
      </c>
      <c r="M1382" s="40"/>
    </row>
    <row r="1383">
      <c r="A1383" s="29"/>
      <c r="B1383" s="53" t="str">
        <f>IFERROR(__xludf.DUMMYFUNCTION("""COMPUTED_VALUE"""),"Guadeloupe                    ")</f>
        <v>Guadeloupe                    </v>
      </c>
      <c r="C1383" s="29" t="str">
        <f>IFERROR(__xludf.DUMMYFUNCTION("""COMPUTED_VALUE"""),"GAZ:00067142")</f>
        <v>GAZ:00067142</v>
      </c>
      <c r="D1383"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E1383" s="29"/>
      <c r="F1383" s="29"/>
      <c r="G1383" s="29"/>
      <c r="H1383" s="56" t="s">
        <v>19</v>
      </c>
      <c r="I1383" s="56" t="s">
        <v>19</v>
      </c>
      <c r="J1383" s="56" t="s">
        <v>19</v>
      </c>
      <c r="K1383" s="55" t="str">
        <f t="shared" si="74"/>
        <v>MPox</v>
      </c>
      <c r="M1383" s="40"/>
    </row>
    <row r="1384">
      <c r="A1384" s="29"/>
      <c r="B1384" s="53" t="str">
        <f>IFERROR(__xludf.DUMMYFUNCTION("""COMPUTED_VALUE"""),"Guam                    ")</f>
        <v>Guam                    </v>
      </c>
      <c r="C1384" s="29" t="str">
        <f>IFERROR(__xludf.DUMMYFUNCTION("""COMPUTED_VALUE"""),"GAZ:00003706")</f>
        <v>GAZ:00003706</v>
      </c>
      <c r="D1384"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E1384" s="29"/>
      <c r="F1384" s="29"/>
      <c r="G1384" s="29"/>
      <c r="H1384" s="56" t="s">
        <v>19</v>
      </c>
      <c r="I1384" s="56" t="s">
        <v>19</v>
      </c>
      <c r="J1384" s="56" t="s">
        <v>19</v>
      </c>
      <c r="K1384" s="55" t="str">
        <f t="shared" si="74"/>
        <v>MPox</v>
      </c>
      <c r="M1384" s="40"/>
    </row>
    <row r="1385">
      <c r="A1385" s="29"/>
      <c r="B1385" s="53" t="str">
        <f>IFERROR(__xludf.DUMMYFUNCTION("""COMPUTED_VALUE"""),"Guatemala                    ")</f>
        <v>Guatemala                    </v>
      </c>
      <c r="C1385" s="29" t="str">
        <f>IFERROR(__xludf.DUMMYFUNCTION("""COMPUTED_VALUE"""),"GAZ:00002936")</f>
        <v>GAZ:00002936</v>
      </c>
      <c r="D1385"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E1385" s="29"/>
      <c r="F1385" s="29"/>
      <c r="G1385" s="29"/>
      <c r="H1385" s="56" t="s">
        <v>19</v>
      </c>
      <c r="I1385" s="56" t="s">
        <v>19</v>
      </c>
      <c r="J1385" s="56" t="s">
        <v>19</v>
      </c>
      <c r="K1385" s="55" t="str">
        <f t="shared" si="74"/>
        <v>MPox</v>
      </c>
      <c r="M1385" s="40"/>
    </row>
    <row r="1386">
      <c r="A1386" s="29"/>
      <c r="B1386" s="53" t="str">
        <f>IFERROR(__xludf.DUMMYFUNCTION("""COMPUTED_VALUE"""),"Guernsey                    ")</f>
        <v>Guernsey                    </v>
      </c>
      <c r="C1386" s="29" t="str">
        <f>IFERROR(__xludf.DUMMYFUNCTION("""COMPUTED_VALUE"""),"GAZ:00001550")</f>
        <v>GAZ:00001550</v>
      </c>
      <c r="D1386" s="29" t="str">
        <f>IFERROR(__xludf.DUMMYFUNCTION("""COMPUTED_VALUE"""),"A British Crown Dependency in the English Channel off the coast of Normandy.")</f>
        <v>A British Crown Dependency in the English Channel off the coast of Normandy.</v>
      </c>
      <c r="E1386" s="29"/>
      <c r="F1386" s="29"/>
      <c r="G1386" s="29"/>
      <c r="H1386" s="56" t="s">
        <v>19</v>
      </c>
      <c r="I1386" s="56" t="s">
        <v>19</v>
      </c>
      <c r="J1386" s="56" t="s">
        <v>19</v>
      </c>
      <c r="K1386" s="55" t="str">
        <f t="shared" si="74"/>
        <v>MPox</v>
      </c>
      <c r="M1386" s="40"/>
    </row>
    <row r="1387">
      <c r="A1387" s="29"/>
      <c r="B1387" s="53" t="str">
        <f>IFERROR(__xludf.DUMMYFUNCTION("""COMPUTED_VALUE"""),"Guinea                    ")</f>
        <v>Guinea                    </v>
      </c>
      <c r="C1387" s="29" t="str">
        <f>IFERROR(__xludf.DUMMYFUNCTION("""COMPUTED_VALUE"""),"GAZ:00000909")</f>
        <v>GAZ:00000909</v>
      </c>
      <c r="D1387"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E1387" s="29"/>
      <c r="F1387" s="29"/>
      <c r="G1387" s="29"/>
      <c r="H1387" s="56" t="s">
        <v>19</v>
      </c>
      <c r="I1387" s="56" t="s">
        <v>19</v>
      </c>
      <c r="J1387" s="56" t="s">
        <v>19</v>
      </c>
      <c r="K1387" s="55" t="str">
        <f t="shared" si="74"/>
        <v>MPox</v>
      </c>
      <c r="M1387" s="40"/>
    </row>
    <row r="1388">
      <c r="A1388" s="29"/>
      <c r="B1388" s="53" t="str">
        <f>IFERROR(__xludf.DUMMYFUNCTION("""COMPUTED_VALUE"""),"Guinea-Bissau                    ")</f>
        <v>Guinea-Bissau                    </v>
      </c>
      <c r="C1388" s="29" t="str">
        <f>IFERROR(__xludf.DUMMYFUNCTION("""COMPUTED_VALUE"""),"GAZ:00000910")</f>
        <v>GAZ:00000910</v>
      </c>
      <c r="D1388"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E1388" s="29"/>
      <c r="F1388" s="29"/>
      <c r="G1388" s="29"/>
      <c r="H1388" s="56" t="s">
        <v>19</v>
      </c>
      <c r="I1388" s="56" t="s">
        <v>19</v>
      </c>
      <c r="J1388" s="56" t="s">
        <v>19</v>
      </c>
      <c r="K1388" s="55" t="str">
        <f t="shared" si="74"/>
        <v>MPox</v>
      </c>
      <c r="M1388" s="40"/>
    </row>
    <row r="1389">
      <c r="A1389" s="29"/>
      <c r="B1389" s="53" t="str">
        <f>IFERROR(__xludf.DUMMYFUNCTION("""COMPUTED_VALUE"""),"Guyana                    ")</f>
        <v>Guyana                    </v>
      </c>
      <c r="C1389" s="29" t="str">
        <f>IFERROR(__xludf.DUMMYFUNCTION("""COMPUTED_VALUE"""),"GAZ:00002522")</f>
        <v>GAZ:00002522</v>
      </c>
      <c r="D1389"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E1389" s="29"/>
      <c r="F1389" s="29"/>
      <c r="G1389" s="29"/>
      <c r="H1389" s="56" t="s">
        <v>19</v>
      </c>
      <c r="I1389" s="56" t="s">
        <v>19</v>
      </c>
      <c r="J1389" s="56" t="s">
        <v>19</v>
      </c>
      <c r="K1389" s="55" t="str">
        <f t="shared" si="74"/>
        <v>MPox</v>
      </c>
      <c r="M1389" s="40"/>
    </row>
    <row r="1390">
      <c r="A1390" s="29"/>
      <c r="B1390" s="53" t="str">
        <f>IFERROR(__xludf.DUMMYFUNCTION("""COMPUTED_VALUE"""),"Haiti                    ")</f>
        <v>Haiti                    </v>
      </c>
      <c r="C1390" s="29" t="str">
        <f>IFERROR(__xludf.DUMMYFUNCTION("""COMPUTED_VALUE"""),"GAZ:00003953")</f>
        <v>GAZ:00003953</v>
      </c>
      <c r="D1390"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E1390" s="29"/>
      <c r="F1390" s="29"/>
      <c r="G1390" s="29"/>
      <c r="H1390" s="56" t="s">
        <v>19</v>
      </c>
      <c r="I1390" s="56" t="s">
        <v>19</v>
      </c>
      <c r="J1390" s="56" t="s">
        <v>19</v>
      </c>
      <c r="K1390" s="55" t="str">
        <f t="shared" si="74"/>
        <v>MPox</v>
      </c>
      <c r="M1390" s="40"/>
    </row>
    <row r="1391">
      <c r="A1391" s="29"/>
      <c r="B1391" s="53" t="str">
        <f>IFERROR(__xludf.DUMMYFUNCTION("""COMPUTED_VALUE"""),"Heard Island and McDonald Islands                    ")</f>
        <v>Heard Island and McDonald Islands                    </v>
      </c>
      <c r="C1391" s="29" t="str">
        <f>IFERROR(__xludf.DUMMYFUNCTION("""COMPUTED_VALUE"""),"GAZ:00009718")</f>
        <v>GAZ:00009718</v>
      </c>
      <c r="D1391"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E1391" s="29"/>
      <c r="F1391" s="29"/>
      <c r="G1391" s="29"/>
      <c r="H1391" s="56" t="s">
        <v>19</v>
      </c>
      <c r="I1391" s="56" t="s">
        <v>19</v>
      </c>
      <c r="J1391" s="56" t="s">
        <v>19</v>
      </c>
      <c r="K1391" s="55" t="str">
        <f t="shared" si="74"/>
        <v>MPox</v>
      </c>
      <c r="M1391" s="40"/>
    </row>
    <row r="1392">
      <c r="A1392" s="29"/>
      <c r="B1392" s="53" t="str">
        <f>IFERROR(__xludf.DUMMYFUNCTION("""COMPUTED_VALUE"""),"Honduras                    ")</f>
        <v>Honduras                    </v>
      </c>
      <c r="C1392" s="29" t="str">
        <f>IFERROR(__xludf.DUMMYFUNCTION("""COMPUTED_VALUE"""),"GAZ:00002894")</f>
        <v>GAZ:00002894</v>
      </c>
      <c r="D1392"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E1392" s="29"/>
      <c r="F1392" s="29"/>
      <c r="G1392" s="29"/>
      <c r="H1392" s="56" t="s">
        <v>19</v>
      </c>
      <c r="I1392" s="56" t="s">
        <v>19</v>
      </c>
      <c r="J1392" s="56" t="s">
        <v>19</v>
      </c>
      <c r="K1392" s="55" t="str">
        <f t="shared" si="74"/>
        <v>MPox</v>
      </c>
      <c r="M1392" s="40"/>
    </row>
    <row r="1393">
      <c r="A1393" s="29"/>
      <c r="B1393" s="53" t="str">
        <f>IFERROR(__xludf.DUMMYFUNCTION("""COMPUTED_VALUE"""),"Hong Kong                    ")</f>
        <v>Hong Kong                    </v>
      </c>
      <c r="C1393" s="29" t="str">
        <f>IFERROR(__xludf.DUMMYFUNCTION("""COMPUTED_VALUE"""),"GAZ:00003203")</f>
        <v>GAZ:00003203</v>
      </c>
      <c r="D1393"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E1393" s="29"/>
      <c r="F1393" s="29"/>
      <c r="G1393" s="29"/>
      <c r="H1393" s="56" t="s">
        <v>19</v>
      </c>
      <c r="I1393" s="56" t="s">
        <v>19</v>
      </c>
      <c r="J1393" s="56" t="s">
        <v>19</v>
      </c>
      <c r="K1393" s="55" t="str">
        <f t="shared" si="74"/>
        <v>MPox</v>
      </c>
      <c r="M1393" s="40"/>
    </row>
    <row r="1394">
      <c r="A1394" s="29"/>
      <c r="B1394" s="53" t="str">
        <f>IFERROR(__xludf.DUMMYFUNCTION("""COMPUTED_VALUE"""),"Howland Island                    ")</f>
        <v>Howland Island                    </v>
      </c>
      <c r="C1394" s="29" t="str">
        <f>IFERROR(__xludf.DUMMYFUNCTION("""COMPUTED_VALUE"""),"GAZ:00007120")</f>
        <v>GAZ:00007120</v>
      </c>
      <c r="D1394"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E1394" s="29"/>
      <c r="F1394" s="29"/>
      <c r="G1394" s="29"/>
      <c r="H1394" s="56" t="s">
        <v>19</v>
      </c>
      <c r="I1394" s="56" t="s">
        <v>19</v>
      </c>
      <c r="J1394" s="56" t="s">
        <v>19</v>
      </c>
      <c r="K1394" s="55" t="str">
        <f t="shared" si="74"/>
        <v>MPox</v>
      </c>
      <c r="M1394" s="40"/>
    </row>
    <row r="1395">
      <c r="A1395" s="29"/>
      <c r="B1395" s="53" t="str">
        <f>IFERROR(__xludf.DUMMYFUNCTION("""COMPUTED_VALUE"""),"Hungary                    ")</f>
        <v>Hungary                    </v>
      </c>
      <c r="C1395" s="29" t="str">
        <f>IFERROR(__xludf.DUMMYFUNCTION("""COMPUTED_VALUE"""),"GAZ:00002952")</f>
        <v>GAZ:00002952</v>
      </c>
      <c r="D1395"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E1395" s="29"/>
      <c r="F1395" s="29"/>
      <c r="G1395" s="29"/>
      <c r="H1395" s="56" t="s">
        <v>19</v>
      </c>
      <c r="I1395" s="56" t="s">
        <v>19</v>
      </c>
      <c r="J1395" s="56" t="s">
        <v>19</v>
      </c>
      <c r="K1395" s="55" t="str">
        <f t="shared" si="74"/>
        <v>MPox</v>
      </c>
      <c r="M1395" s="40"/>
    </row>
    <row r="1396">
      <c r="A1396" s="29"/>
      <c r="B1396" s="53" t="str">
        <f>IFERROR(__xludf.DUMMYFUNCTION("""COMPUTED_VALUE"""),"Iceland                    ")</f>
        <v>Iceland                    </v>
      </c>
      <c r="C1396" s="29" t="str">
        <f>IFERROR(__xludf.DUMMYFUNCTION("""COMPUTED_VALUE"""),"GAZ:00000843")</f>
        <v>GAZ:00000843</v>
      </c>
      <c r="D1396"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E1396" s="29"/>
      <c r="F1396" s="29"/>
      <c r="G1396" s="29"/>
      <c r="H1396" s="56" t="s">
        <v>19</v>
      </c>
      <c r="I1396" s="56" t="s">
        <v>19</v>
      </c>
      <c r="J1396" s="56" t="s">
        <v>19</v>
      </c>
      <c r="K1396" s="55" t="str">
        <f t="shared" si="74"/>
        <v>MPox</v>
      </c>
      <c r="M1396" s="40"/>
    </row>
    <row r="1397">
      <c r="A1397" s="29"/>
      <c r="B1397" s="53" t="str">
        <f>IFERROR(__xludf.DUMMYFUNCTION("""COMPUTED_VALUE"""),"India                    ")</f>
        <v>India                    </v>
      </c>
      <c r="C1397" s="29" t="str">
        <f>IFERROR(__xludf.DUMMYFUNCTION("""COMPUTED_VALUE"""),"GAZ:00002839")</f>
        <v>GAZ:00002839</v>
      </c>
      <c r="D1397"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E1397" s="29"/>
      <c r="F1397" s="29"/>
      <c r="G1397" s="29"/>
      <c r="H1397" s="56" t="s">
        <v>19</v>
      </c>
      <c r="I1397" s="56" t="s">
        <v>19</v>
      </c>
      <c r="J1397" s="56" t="s">
        <v>19</v>
      </c>
      <c r="K1397" s="55" t="str">
        <f t="shared" si="74"/>
        <v>MPox</v>
      </c>
      <c r="M1397" s="40"/>
    </row>
    <row r="1398">
      <c r="A1398" s="29"/>
      <c r="B1398" s="53" t="str">
        <f>IFERROR(__xludf.DUMMYFUNCTION("""COMPUTED_VALUE"""),"Indonesia                    ")</f>
        <v>Indonesia                    </v>
      </c>
      <c r="C1398" s="29" t="str">
        <f>IFERROR(__xludf.DUMMYFUNCTION("""COMPUTED_VALUE"""),"GAZ:00003727")</f>
        <v>GAZ:00003727</v>
      </c>
      <c r="D1398"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E1398" s="29"/>
      <c r="F1398" s="29"/>
      <c r="G1398" s="29"/>
      <c r="H1398" s="56" t="s">
        <v>19</v>
      </c>
      <c r="I1398" s="56" t="s">
        <v>19</v>
      </c>
      <c r="J1398" s="56" t="s">
        <v>19</v>
      </c>
      <c r="K1398" s="55" t="str">
        <f t="shared" si="74"/>
        <v>MPox</v>
      </c>
      <c r="M1398" s="40"/>
    </row>
    <row r="1399">
      <c r="A1399" s="29"/>
      <c r="B1399" s="53" t="str">
        <f>IFERROR(__xludf.DUMMYFUNCTION("""COMPUTED_VALUE"""),"Iran                    ")</f>
        <v>Iran                    </v>
      </c>
      <c r="C1399" s="29" t="str">
        <f>IFERROR(__xludf.DUMMYFUNCTION("""COMPUTED_VALUE"""),"GAZ:00004474")</f>
        <v>GAZ:00004474</v>
      </c>
      <c r="D1399"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E1399" s="29"/>
      <c r="F1399" s="29"/>
      <c r="G1399" s="29"/>
      <c r="H1399" s="56" t="s">
        <v>19</v>
      </c>
      <c r="I1399" s="56" t="s">
        <v>19</v>
      </c>
      <c r="J1399" s="56" t="s">
        <v>19</v>
      </c>
      <c r="K1399" s="55" t="str">
        <f t="shared" si="74"/>
        <v>MPox</v>
      </c>
      <c r="M1399" s="40"/>
    </row>
    <row r="1400">
      <c r="A1400" s="29"/>
      <c r="B1400" s="53" t="str">
        <f>IFERROR(__xludf.DUMMYFUNCTION("""COMPUTED_VALUE"""),"Iraq                    ")</f>
        <v>Iraq                    </v>
      </c>
      <c r="C1400" s="29" t="str">
        <f>IFERROR(__xludf.DUMMYFUNCTION("""COMPUTED_VALUE"""),"GAZ:00004483")</f>
        <v>GAZ:00004483</v>
      </c>
      <c r="D1400"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E1400" s="29"/>
      <c r="F1400" s="29"/>
      <c r="G1400" s="29"/>
      <c r="H1400" s="56" t="s">
        <v>19</v>
      </c>
      <c r="I1400" s="56" t="s">
        <v>19</v>
      </c>
      <c r="J1400" s="56" t="s">
        <v>19</v>
      </c>
      <c r="K1400" s="55" t="str">
        <f t="shared" si="74"/>
        <v>MPox</v>
      </c>
      <c r="M1400" s="40"/>
    </row>
    <row r="1401">
      <c r="A1401" s="29"/>
      <c r="B1401" s="53" t="str">
        <f>IFERROR(__xludf.DUMMYFUNCTION("""COMPUTED_VALUE"""),"Ireland                    ")</f>
        <v>Ireland                    </v>
      </c>
      <c r="C1401" s="29" t="str">
        <f>IFERROR(__xludf.DUMMYFUNCTION("""COMPUTED_VALUE"""),"GAZ:00002943")</f>
        <v>GAZ:00002943</v>
      </c>
      <c r="D1401"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E1401" s="29"/>
      <c r="F1401" s="29"/>
      <c r="G1401" s="29"/>
      <c r="H1401" s="56" t="s">
        <v>19</v>
      </c>
      <c r="I1401" s="56" t="s">
        <v>19</v>
      </c>
      <c r="J1401" s="56" t="s">
        <v>19</v>
      </c>
      <c r="K1401" s="55" t="str">
        <f t="shared" si="74"/>
        <v>MPox</v>
      </c>
      <c r="M1401" s="40"/>
    </row>
    <row r="1402">
      <c r="A1402" s="29"/>
      <c r="B1402" s="53" t="str">
        <f>IFERROR(__xludf.DUMMYFUNCTION("""COMPUTED_VALUE"""),"Isle of Man                    ")</f>
        <v>Isle of Man                    </v>
      </c>
      <c r="C1402" s="29" t="str">
        <f>IFERROR(__xludf.DUMMYFUNCTION("""COMPUTED_VALUE"""),"GAZ:00052477")</f>
        <v>GAZ:00052477</v>
      </c>
      <c r="D1402"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E1402" s="29"/>
      <c r="F1402" s="29"/>
      <c r="G1402" s="29"/>
      <c r="H1402" s="56" t="s">
        <v>19</v>
      </c>
      <c r="I1402" s="56" t="s">
        <v>19</v>
      </c>
      <c r="J1402" s="56" t="s">
        <v>19</v>
      </c>
      <c r="K1402" s="55" t="str">
        <f t="shared" si="74"/>
        <v>MPox</v>
      </c>
      <c r="M1402" s="40"/>
    </row>
    <row r="1403">
      <c r="A1403" s="29"/>
      <c r="B1403" s="53" t="str">
        <f>IFERROR(__xludf.DUMMYFUNCTION("""COMPUTED_VALUE"""),"Israel                    ")</f>
        <v>Israel                    </v>
      </c>
      <c r="C1403" s="29" t="str">
        <f>IFERROR(__xludf.DUMMYFUNCTION("""COMPUTED_VALUE"""),"GAZ:00002476")</f>
        <v>GAZ:00002476</v>
      </c>
      <c r="D1403"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E1403" s="29"/>
      <c r="F1403" s="29"/>
      <c r="G1403" s="29"/>
      <c r="H1403" s="56" t="s">
        <v>19</v>
      </c>
      <c r="I1403" s="56" t="s">
        <v>19</v>
      </c>
      <c r="J1403" s="56" t="s">
        <v>19</v>
      </c>
      <c r="K1403" s="55" t="str">
        <f t="shared" si="74"/>
        <v>MPox</v>
      </c>
      <c r="M1403" s="40"/>
    </row>
    <row r="1404">
      <c r="A1404" s="29"/>
      <c r="B1404" s="53" t="str">
        <f>IFERROR(__xludf.DUMMYFUNCTION("""COMPUTED_VALUE"""),"Italy                    ")</f>
        <v>Italy                    </v>
      </c>
      <c r="C1404" s="29" t="str">
        <f>IFERROR(__xludf.DUMMYFUNCTION("""COMPUTED_VALUE"""),"GAZ:00002650")</f>
        <v>GAZ:00002650</v>
      </c>
      <c r="D1404"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E1404" s="29"/>
      <c r="F1404" s="29"/>
      <c r="G1404" s="29"/>
      <c r="H1404" s="56" t="s">
        <v>19</v>
      </c>
      <c r="I1404" s="56" t="s">
        <v>19</v>
      </c>
      <c r="J1404" s="56" t="s">
        <v>19</v>
      </c>
      <c r="K1404" s="55" t="str">
        <f t="shared" si="74"/>
        <v>MPox</v>
      </c>
      <c r="M1404" s="40"/>
    </row>
    <row r="1405">
      <c r="A1405" s="29"/>
      <c r="B1405" s="53" t="str">
        <f>IFERROR(__xludf.DUMMYFUNCTION("""COMPUTED_VALUE"""),"Jamaica                    ")</f>
        <v>Jamaica                    </v>
      </c>
      <c r="C1405" s="29" t="str">
        <f>IFERROR(__xludf.DUMMYFUNCTION("""COMPUTED_VALUE"""),"GAZ:00003781")</f>
        <v>GAZ:00003781</v>
      </c>
      <c r="D1405"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E1405" s="29"/>
      <c r="F1405" s="29"/>
      <c r="G1405" s="29"/>
      <c r="H1405" s="56" t="s">
        <v>19</v>
      </c>
      <c r="I1405" s="56" t="s">
        <v>19</v>
      </c>
      <c r="J1405" s="56" t="s">
        <v>19</v>
      </c>
      <c r="K1405" s="55" t="str">
        <f t="shared" si="74"/>
        <v>MPox</v>
      </c>
      <c r="M1405" s="40"/>
    </row>
    <row r="1406">
      <c r="A1406" s="29"/>
      <c r="B1406" s="53" t="str">
        <f>IFERROR(__xludf.DUMMYFUNCTION("""COMPUTED_VALUE"""),"Jan Mayen                    ")</f>
        <v>Jan Mayen                    </v>
      </c>
      <c r="C1406" s="29" t="str">
        <f>IFERROR(__xludf.DUMMYFUNCTION("""COMPUTED_VALUE"""),"GAZ:00005853")</f>
        <v>GAZ:00005853</v>
      </c>
      <c r="D1406"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E1406" s="29"/>
      <c r="F1406" s="29"/>
      <c r="G1406" s="29"/>
      <c r="H1406" s="56" t="s">
        <v>19</v>
      </c>
      <c r="I1406" s="56" t="s">
        <v>19</v>
      </c>
      <c r="J1406" s="56" t="s">
        <v>19</v>
      </c>
      <c r="K1406" s="55" t="str">
        <f t="shared" si="74"/>
        <v>MPox</v>
      </c>
      <c r="M1406" s="40"/>
    </row>
    <row r="1407">
      <c r="A1407" s="29"/>
      <c r="B1407" s="53" t="str">
        <f>IFERROR(__xludf.DUMMYFUNCTION("""COMPUTED_VALUE"""),"Japan                    ")</f>
        <v>Japan                    </v>
      </c>
      <c r="C1407" s="29" t="str">
        <f>IFERROR(__xludf.DUMMYFUNCTION("""COMPUTED_VALUE"""),"GAZ:00002747")</f>
        <v>GAZ:00002747</v>
      </c>
      <c r="D1407"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E1407" s="29"/>
      <c r="F1407" s="29"/>
      <c r="G1407" s="29"/>
      <c r="H1407" s="56" t="s">
        <v>19</v>
      </c>
      <c r="I1407" s="56" t="s">
        <v>19</v>
      </c>
      <c r="J1407" s="56" t="s">
        <v>19</v>
      </c>
      <c r="K1407" s="55" t="str">
        <f t="shared" si="74"/>
        <v>MPox</v>
      </c>
      <c r="M1407" s="40"/>
    </row>
    <row r="1408">
      <c r="A1408" s="29"/>
      <c r="B1408" s="53" t="str">
        <f>IFERROR(__xludf.DUMMYFUNCTION("""COMPUTED_VALUE"""),"Jarvis Island                    ")</f>
        <v>Jarvis Island                    </v>
      </c>
      <c r="C1408" s="29" t="str">
        <f>IFERROR(__xludf.DUMMYFUNCTION("""COMPUTED_VALUE"""),"GAZ:00007118")</f>
        <v>GAZ:00007118</v>
      </c>
      <c r="D1408"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E1408" s="29"/>
      <c r="F1408" s="29"/>
      <c r="G1408" s="29"/>
      <c r="H1408" s="56" t="s">
        <v>19</v>
      </c>
      <c r="I1408" s="56" t="s">
        <v>19</v>
      </c>
      <c r="J1408" s="56" t="s">
        <v>19</v>
      </c>
      <c r="K1408" s="55" t="str">
        <f t="shared" si="74"/>
        <v>MPox</v>
      </c>
      <c r="M1408" s="40"/>
    </row>
    <row r="1409">
      <c r="A1409" s="29"/>
      <c r="B1409" s="53" t="str">
        <f>IFERROR(__xludf.DUMMYFUNCTION("""COMPUTED_VALUE"""),"Jersey                    ")</f>
        <v>Jersey                    </v>
      </c>
      <c r="C1409" s="29" t="str">
        <f>IFERROR(__xludf.DUMMYFUNCTION("""COMPUTED_VALUE"""),"GAZ:00001551")</f>
        <v>GAZ:00001551</v>
      </c>
      <c r="D1409"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E1409" s="29"/>
      <c r="F1409" s="29"/>
      <c r="G1409" s="29"/>
      <c r="H1409" s="56" t="s">
        <v>19</v>
      </c>
      <c r="I1409" s="56" t="s">
        <v>19</v>
      </c>
      <c r="J1409" s="56" t="s">
        <v>19</v>
      </c>
      <c r="K1409" s="55" t="str">
        <f t="shared" si="74"/>
        <v>MPox</v>
      </c>
      <c r="M1409" s="40"/>
    </row>
    <row r="1410">
      <c r="A1410" s="29"/>
      <c r="B1410" s="53" t="str">
        <f>IFERROR(__xludf.DUMMYFUNCTION("""COMPUTED_VALUE"""),"Johnston Atoll                    ")</f>
        <v>Johnston Atoll                    </v>
      </c>
      <c r="C1410" s="29" t="str">
        <f>IFERROR(__xludf.DUMMYFUNCTION("""COMPUTED_VALUE"""),"GAZ:00007114")</f>
        <v>GAZ:00007114</v>
      </c>
      <c r="D1410"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E1410" s="29"/>
      <c r="F1410" s="29"/>
      <c r="G1410" s="29"/>
      <c r="H1410" s="56" t="s">
        <v>19</v>
      </c>
      <c r="I1410" s="56" t="s">
        <v>19</v>
      </c>
      <c r="J1410" s="56" t="s">
        <v>19</v>
      </c>
      <c r="K1410" s="55" t="str">
        <f t="shared" si="74"/>
        <v>MPox</v>
      </c>
      <c r="M1410" s="40"/>
    </row>
    <row r="1411">
      <c r="A1411" s="29"/>
      <c r="B1411" s="53" t="str">
        <f>IFERROR(__xludf.DUMMYFUNCTION("""COMPUTED_VALUE"""),"Jordan                    ")</f>
        <v>Jordan                    </v>
      </c>
      <c r="C1411" s="29" t="str">
        <f>IFERROR(__xludf.DUMMYFUNCTION("""COMPUTED_VALUE"""),"GAZ:00002473")</f>
        <v>GAZ:00002473</v>
      </c>
      <c r="D1411"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E1411" s="29"/>
      <c r="F1411" s="29"/>
      <c r="G1411" s="29"/>
      <c r="H1411" s="56" t="s">
        <v>19</v>
      </c>
      <c r="I1411" s="56" t="s">
        <v>19</v>
      </c>
      <c r="J1411" s="56" t="s">
        <v>19</v>
      </c>
      <c r="K1411" s="55" t="str">
        <f t="shared" si="74"/>
        <v>MPox</v>
      </c>
      <c r="M1411" s="40"/>
    </row>
    <row r="1412">
      <c r="A1412" s="29"/>
      <c r="B1412" s="53" t="str">
        <f>IFERROR(__xludf.DUMMYFUNCTION("""COMPUTED_VALUE"""),"Juan de Nova Island                    ")</f>
        <v>Juan de Nova Island                    </v>
      </c>
      <c r="C1412" s="29" t="str">
        <f>IFERROR(__xludf.DUMMYFUNCTION("""COMPUTED_VALUE"""),"GAZ:00005809")</f>
        <v>GAZ:00005809</v>
      </c>
      <c r="D1412"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E1412" s="29"/>
      <c r="F1412" s="29"/>
      <c r="G1412" s="29"/>
      <c r="H1412" s="56" t="s">
        <v>19</v>
      </c>
      <c r="I1412" s="56" t="s">
        <v>19</v>
      </c>
      <c r="J1412" s="56" t="s">
        <v>19</v>
      </c>
      <c r="K1412" s="55" t="str">
        <f t="shared" si="74"/>
        <v>MPox</v>
      </c>
      <c r="M1412" s="40"/>
    </row>
    <row r="1413">
      <c r="A1413" s="29"/>
      <c r="B1413" s="53" t="str">
        <f>IFERROR(__xludf.DUMMYFUNCTION("""COMPUTED_VALUE"""),"Kazakhstan                    ")</f>
        <v>Kazakhstan                    </v>
      </c>
      <c r="C1413" s="29" t="str">
        <f>IFERROR(__xludf.DUMMYFUNCTION("""COMPUTED_VALUE"""),"GAZ:00004999")</f>
        <v>GAZ:00004999</v>
      </c>
      <c r="D1413"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E1413" s="29"/>
      <c r="F1413" s="29"/>
      <c r="G1413" s="29"/>
      <c r="H1413" s="56" t="s">
        <v>19</v>
      </c>
      <c r="I1413" s="56" t="s">
        <v>19</v>
      </c>
      <c r="J1413" s="56" t="s">
        <v>19</v>
      </c>
      <c r="K1413" s="55" t="str">
        <f t="shared" si="74"/>
        <v>MPox</v>
      </c>
      <c r="M1413" s="40"/>
    </row>
    <row r="1414">
      <c r="A1414" s="29"/>
      <c r="B1414" s="53" t="str">
        <f>IFERROR(__xludf.DUMMYFUNCTION("""COMPUTED_VALUE"""),"Kenya                    ")</f>
        <v>Kenya                    </v>
      </c>
      <c r="C1414" s="29" t="str">
        <f>IFERROR(__xludf.DUMMYFUNCTION("""COMPUTED_VALUE"""),"GAZ:00001101")</f>
        <v>GAZ:00001101</v>
      </c>
      <c r="D1414"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E1414" s="29"/>
      <c r="F1414" s="29"/>
      <c r="G1414" s="29"/>
      <c r="H1414" s="56" t="s">
        <v>19</v>
      </c>
      <c r="I1414" s="56" t="s">
        <v>19</v>
      </c>
      <c r="J1414" s="56" t="s">
        <v>19</v>
      </c>
      <c r="K1414" s="55" t="str">
        <f t="shared" si="74"/>
        <v>MPox</v>
      </c>
      <c r="M1414" s="40"/>
    </row>
    <row r="1415">
      <c r="A1415" s="29"/>
      <c r="B1415" s="53" t="str">
        <f>IFERROR(__xludf.DUMMYFUNCTION("""COMPUTED_VALUE"""),"Kerguelen Archipelago                    ")</f>
        <v>Kerguelen Archipelago                    </v>
      </c>
      <c r="C1415" s="29" t="str">
        <f>IFERROR(__xludf.DUMMYFUNCTION("""COMPUTED_VALUE"""),"GAZ:00005682")</f>
        <v>GAZ:00005682</v>
      </c>
      <c r="D1415"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E1415" s="29"/>
      <c r="F1415" s="29"/>
      <c r="G1415" s="29"/>
      <c r="H1415" s="56" t="s">
        <v>19</v>
      </c>
      <c r="I1415" s="56" t="s">
        <v>19</v>
      </c>
      <c r="J1415" s="56" t="s">
        <v>19</v>
      </c>
      <c r="K1415" s="55" t="str">
        <f t="shared" si="74"/>
        <v>MPox</v>
      </c>
      <c r="M1415" s="40"/>
    </row>
    <row r="1416">
      <c r="A1416" s="29"/>
      <c r="B1416" s="53" t="str">
        <f>IFERROR(__xludf.DUMMYFUNCTION("""COMPUTED_VALUE"""),"Kingman Reef                    ")</f>
        <v>Kingman Reef                    </v>
      </c>
      <c r="C1416" s="29" t="str">
        <f>IFERROR(__xludf.DUMMYFUNCTION("""COMPUTED_VALUE"""),"GAZ:00007116")</f>
        <v>GAZ:00007116</v>
      </c>
      <c r="D1416"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E1416" s="29"/>
      <c r="F1416" s="29"/>
      <c r="G1416" s="29"/>
      <c r="H1416" s="56" t="s">
        <v>19</v>
      </c>
      <c r="I1416" s="56" t="s">
        <v>19</v>
      </c>
      <c r="J1416" s="56" t="s">
        <v>19</v>
      </c>
      <c r="K1416" s="55" t="str">
        <f t="shared" si="74"/>
        <v>MPox</v>
      </c>
      <c r="M1416" s="40"/>
    </row>
    <row r="1417">
      <c r="A1417" s="29"/>
      <c r="B1417" s="53" t="str">
        <f>IFERROR(__xludf.DUMMYFUNCTION("""COMPUTED_VALUE"""),"Kiribati                    ")</f>
        <v>Kiribati                    </v>
      </c>
      <c r="C1417" s="29" t="str">
        <f>IFERROR(__xludf.DUMMYFUNCTION("""COMPUTED_VALUE"""),"GAZ:00006894")</f>
        <v>GAZ:00006894</v>
      </c>
      <c r="D1417"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E1417" s="29"/>
      <c r="F1417" s="29"/>
      <c r="G1417" s="29"/>
      <c r="H1417" s="56" t="s">
        <v>19</v>
      </c>
      <c r="I1417" s="56" t="s">
        <v>19</v>
      </c>
      <c r="J1417" s="56" t="s">
        <v>19</v>
      </c>
      <c r="K1417" s="55" t="str">
        <f t="shared" si="74"/>
        <v>MPox</v>
      </c>
      <c r="M1417" s="40"/>
    </row>
    <row r="1418">
      <c r="A1418" s="29"/>
      <c r="B1418" s="53" t="str">
        <f>IFERROR(__xludf.DUMMYFUNCTION("""COMPUTED_VALUE"""),"Kosovo                    ")</f>
        <v>Kosovo                    </v>
      </c>
      <c r="C1418" s="29" t="str">
        <f>IFERROR(__xludf.DUMMYFUNCTION("""COMPUTED_VALUE"""),"GAZ:00011337")</f>
        <v>GAZ:00011337</v>
      </c>
      <c r="D1418"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E1418" s="29"/>
      <c r="F1418" s="29"/>
      <c r="G1418" s="29"/>
      <c r="H1418" s="56" t="s">
        <v>19</v>
      </c>
      <c r="I1418" s="56" t="s">
        <v>19</v>
      </c>
      <c r="J1418" s="56" t="s">
        <v>19</v>
      </c>
      <c r="K1418" s="55" t="str">
        <f t="shared" si="74"/>
        <v>MPox</v>
      </c>
      <c r="M1418" s="40"/>
    </row>
    <row r="1419">
      <c r="A1419" s="29"/>
      <c r="B1419" s="53" t="str">
        <f>IFERROR(__xludf.DUMMYFUNCTION("""COMPUTED_VALUE"""),"Kuwait                    ")</f>
        <v>Kuwait                    </v>
      </c>
      <c r="C1419" s="29" t="str">
        <f>IFERROR(__xludf.DUMMYFUNCTION("""COMPUTED_VALUE"""),"GAZ:00005285")</f>
        <v>GAZ:00005285</v>
      </c>
      <c r="D1419"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E1419" s="29"/>
      <c r="F1419" s="29"/>
      <c r="G1419" s="29"/>
      <c r="H1419" s="56" t="s">
        <v>19</v>
      </c>
      <c r="I1419" s="56" t="s">
        <v>19</v>
      </c>
      <c r="J1419" s="56" t="s">
        <v>19</v>
      </c>
      <c r="K1419" s="55" t="str">
        <f t="shared" si="74"/>
        <v>MPox</v>
      </c>
      <c r="M1419" s="40"/>
    </row>
    <row r="1420">
      <c r="A1420" s="29"/>
      <c r="B1420" s="53" t="str">
        <f>IFERROR(__xludf.DUMMYFUNCTION("""COMPUTED_VALUE"""),"Kyrgyzstan                    ")</f>
        <v>Kyrgyzstan                    </v>
      </c>
      <c r="C1420" s="29" t="str">
        <f>IFERROR(__xludf.DUMMYFUNCTION("""COMPUTED_VALUE"""),"GAZ:00006893")</f>
        <v>GAZ:00006893</v>
      </c>
      <c r="D1420"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E1420" s="29"/>
      <c r="F1420" s="29"/>
      <c r="G1420" s="29"/>
      <c r="H1420" s="56" t="s">
        <v>19</v>
      </c>
      <c r="I1420" s="56" t="s">
        <v>19</v>
      </c>
      <c r="J1420" s="56" t="s">
        <v>19</v>
      </c>
      <c r="K1420" s="55" t="str">
        <f t="shared" si="74"/>
        <v>MPox</v>
      </c>
      <c r="M1420" s="40"/>
    </row>
    <row r="1421">
      <c r="A1421" s="29"/>
      <c r="B1421" s="53" t="str">
        <f>IFERROR(__xludf.DUMMYFUNCTION("""COMPUTED_VALUE"""),"Laos                    ")</f>
        <v>Laos                    </v>
      </c>
      <c r="C1421" s="29" t="str">
        <f>IFERROR(__xludf.DUMMYFUNCTION("""COMPUTED_VALUE"""),"GAZ:00006889")</f>
        <v>GAZ:00006889</v>
      </c>
      <c r="D1421"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E1421" s="29"/>
      <c r="F1421" s="29"/>
      <c r="G1421" s="29"/>
      <c r="H1421" s="56" t="s">
        <v>19</v>
      </c>
      <c r="I1421" s="56" t="s">
        <v>19</v>
      </c>
      <c r="J1421" s="56" t="s">
        <v>19</v>
      </c>
      <c r="K1421" s="55" t="str">
        <f t="shared" si="74"/>
        <v>MPox</v>
      </c>
      <c r="M1421" s="40"/>
    </row>
    <row r="1422">
      <c r="A1422" s="29"/>
      <c r="B1422" s="53" t="str">
        <f>IFERROR(__xludf.DUMMYFUNCTION("""COMPUTED_VALUE"""),"Latvia                    ")</f>
        <v>Latvia                    </v>
      </c>
      <c r="C1422" s="29" t="str">
        <f>IFERROR(__xludf.DUMMYFUNCTION("""COMPUTED_VALUE"""),"GAZ:00002958")</f>
        <v>GAZ:00002958</v>
      </c>
      <c r="D1422"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E1422" s="29"/>
      <c r="F1422" s="29"/>
      <c r="G1422" s="29"/>
      <c r="H1422" s="56" t="s">
        <v>19</v>
      </c>
      <c r="I1422" s="56" t="s">
        <v>19</v>
      </c>
      <c r="J1422" s="56" t="s">
        <v>19</v>
      </c>
      <c r="K1422" s="55" t="str">
        <f t="shared" si="74"/>
        <v>MPox</v>
      </c>
      <c r="M1422" s="40"/>
    </row>
    <row r="1423">
      <c r="A1423" s="29"/>
      <c r="B1423" s="53" t="str">
        <f>IFERROR(__xludf.DUMMYFUNCTION("""COMPUTED_VALUE"""),"Lebanon                    ")</f>
        <v>Lebanon                    </v>
      </c>
      <c r="C1423" s="29" t="str">
        <f>IFERROR(__xludf.DUMMYFUNCTION("""COMPUTED_VALUE"""),"GAZ:00002478")</f>
        <v>GAZ:00002478</v>
      </c>
      <c r="D1423"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E1423" s="29"/>
      <c r="F1423" s="29"/>
      <c r="G1423" s="29"/>
      <c r="H1423" s="56" t="s">
        <v>19</v>
      </c>
      <c r="I1423" s="56" t="s">
        <v>19</v>
      </c>
      <c r="J1423" s="56" t="s">
        <v>19</v>
      </c>
      <c r="K1423" s="55" t="str">
        <f t="shared" si="74"/>
        <v>MPox</v>
      </c>
      <c r="M1423" s="40"/>
    </row>
    <row r="1424">
      <c r="A1424" s="29"/>
      <c r="B1424" s="53" t="str">
        <f>IFERROR(__xludf.DUMMYFUNCTION("""COMPUTED_VALUE"""),"Lesotho                    ")</f>
        <v>Lesotho                    </v>
      </c>
      <c r="C1424" s="29" t="str">
        <f>IFERROR(__xludf.DUMMYFUNCTION("""COMPUTED_VALUE"""),"GAZ:00001098")</f>
        <v>GAZ:00001098</v>
      </c>
      <c r="D1424"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E1424" s="29"/>
      <c r="F1424" s="29"/>
      <c r="G1424" s="29"/>
      <c r="H1424" s="56" t="s">
        <v>19</v>
      </c>
      <c r="I1424" s="56" t="s">
        <v>19</v>
      </c>
      <c r="J1424" s="56" t="s">
        <v>19</v>
      </c>
      <c r="K1424" s="55" t="str">
        <f t="shared" si="74"/>
        <v>MPox</v>
      </c>
      <c r="M1424" s="40"/>
    </row>
    <row r="1425">
      <c r="A1425" s="29"/>
      <c r="B1425" s="53" t="str">
        <f>IFERROR(__xludf.DUMMYFUNCTION("""COMPUTED_VALUE"""),"Liberia                    ")</f>
        <v>Liberia                    </v>
      </c>
      <c r="C1425" s="29" t="str">
        <f>IFERROR(__xludf.DUMMYFUNCTION("""COMPUTED_VALUE"""),"GAZ:00000911")</f>
        <v>GAZ:00000911</v>
      </c>
      <c r="D1425" s="29" t="str">
        <f>IFERROR(__xludf.DUMMYFUNCTION("""COMPUTED_VALUE"""),"A country on the west coast of Africa, bordered by Sierra Leone, Guinea, Cote d'Ivoire, and the Atlantic Ocean.")</f>
        <v>A country on the west coast of Africa, bordered by Sierra Leone, Guinea, Cote d'Ivoire, and the Atlantic Ocean.</v>
      </c>
      <c r="E1425" s="29"/>
      <c r="F1425" s="29"/>
      <c r="G1425" s="29"/>
      <c r="H1425" s="56" t="s">
        <v>19</v>
      </c>
      <c r="I1425" s="56" t="s">
        <v>19</v>
      </c>
      <c r="J1425" s="56" t="s">
        <v>19</v>
      </c>
      <c r="K1425" s="55" t="str">
        <f t="shared" si="74"/>
        <v>MPox</v>
      </c>
      <c r="M1425" s="40"/>
    </row>
    <row r="1426">
      <c r="A1426" s="29"/>
      <c r="B1426" s="53" t="str">
        <f>IFERROR(__xludf.DUMMYFUNCTION("""COMPUTED_VALUE"""),"Libya                    ")</f>
        <v>Libya                    </v>
      </c>
      <c r="C1426" s="29" t="str">
        <f>IFERROR(__xludf.DUMMYFUNCTION("""COMPUTED_VALUE"""),"GAZ:00000566")</f>
        <v>GAZ:00000566</v>
      </c>
      <c r="D1426"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E1426" s="29"/>
      <c r="F1426" s="29"/>
      <c r="G1426" s="29"/>
      <c r="H1426" s="56" t="s">
        <v>19</v>
      </c>
      <c r="I1426" s="56" t="s">
        <v>19</v>
      </c>
      <c r="J1426" s="56" t="s">
        <v>19</v>
      </c>
      <c r="K1426" s="55" t="str">
        <f t="shared" si="74"/>
        <v>MPox</v>
      </c>
      <c r="M1426" s="40"/>
    </row>
    <row r="1427">
      <c r="A1427" s="29"/>
      <c r="B1427" s="53" t="str">
        <f>IFERROR(__xludf.DUMMYFUNCTION("""COMPUTED_VALUE"""),"Liechtenstein                    ")</f>
        <v>Liechtenstein                    </v>
      </c>
      <c r="C1427" s="29" t="str">
        <f>IFERROR(__xludf.DUMMYFUNCTION("""COMPUTED_VALUE"""),"GAZ:00003858")</f>
        <v>GAZ:00003858</v>
      </c>
      <c r="D1427"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E1427" s="29"/>
      <c r="F1427" s="29"/>
      <c r="G1427" s="29"/>
      <c r="H1427" s="56" t="s">
        <v>19</v>
      </c>
      <c r="I1427" s="56" t="s">
        <v>19</v>
      </c>
      <c r="J1427" s="56" t="s">
        <v>19</v>
      </c>
      <c r="K1427" s="55" t="str">
        <f t="shared" si="74"/>
        <v>MPox</v>
      </c>
      <c r="M1427" s="40"/>
    </row>
    <row r="1428">
      <c r="A1428" s="29"/>
      <c r="B1428" s="53" t="str">
        <f>IFERROR(__xludf.DUMMYFUNCTION("""COMPUTED_VALUE"""),"Line Islands                    ")</f>
        <v>Line Islands                    </v>
      </c>
      <c r="C1428" s="29" t="str">
        <f>IFERROR(__xludf.DUMMYFUNCTION("""COMPUTED_VALUE"""),"GAZ:00007144")</f>
        <v>GAZ:00007144</v>
      </c>
      <c r="D1428"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E1428" s="29"/>
      <c r="F1428" s="29"/>
      <c r="G1428" s="29"/>
      <c r="H1428" s="56" t="s">
        <v>19</v>
      </c>
      <c r="I1428" s="56" t="s">
        <v>19</v>
      </c>
      <c r="J1428" s="56" t="s">
        <v>19</v>
      </c>
      <c r="K1428" s="55" t="str">
        <f t="shared" si="74"/>
        <v>MPox</v>
      </c>
      <c r="M1428" s="40"/>
    </row>
    <row r="1429">
      <c r="A1429" s="29"/>
      <c r="B1429" s="53" t="str">
        <f>IFERROR(__xludf.DUMMYFUNCTION("""COMPUTED_VALUE"""),"Lithuania                    ")</f>
        <v>Lithuania                    </v>
      </c>
      <c r="C1429" s="29" t="str">
        <f>IFERROR(__xludf.DUMMYFUNCTION("""COMPUTED_VALUE"""),"GAZ:00002960")</f>
        <v>GAZ:00002960</v>
      </c>
      <c r="D1429"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E1429" s="29"/>
      <c r="F1429" s="29"/>
      <c r="G1429" s="29"/>
      <c r="H1429" s="56" t="s">
        <v>19</v>
      </c>
      <c r="I1429" s="56" t="s">
        <v>19</v>
      </c>
      <c r="J1429" s="56" t="s">
        <v>19</v>
      </c>
      <c r="K1429" s="55" t="str">
        <f t="shared" si="74"/>
        <v>MPox</v>
      </c>
      <c r="M1429" s="40"/>
    </row>
    <row r="1430">
      <c r="A1430" s="29"/>
      <c r="B1430" s="53" t="str">
        <f>IFERROR(__xludf.DUMMYFUNCTION("""COMPUTED_VALUE"""),"Luxembourg                    ")</f>
        <v>Luxembourg                    </v>
      </c>
      <c r="C1430" s="29" t="str">
        <f>IFERROR(__xludf.DUMMYFUNCTION("""COMPUTED_VALUE"""),"GAZ:00002947")</f>
        <v>GAZ:00002947</v>
      </c>
      <c r="D1430"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E1430" s="29"/>
      <c r="F1430" s="29"/>
      <c r="G1430" s="29"/>
      <c r="H1430" s="56" t="s">
        <v>19</v>
      </c>
      <c r="I1430" s="56" t="s">
        <v>19</v>
      </c>
      <c r="J1430" s="56" t="s">
        <v>19</v>
      </c>
      <c r="K1430" s="55" t="str">
        <f t="shared" si="74"/>
        <v>MPox</v>
      </c>
      <c r="M1430" s="40"/>
    </row>
    <row r="1431">
      <c r="A1431" s="29"/>
      <c r="B1431" s="53" t="str">
        <f>IFERROR(__xludf.DUMMYFUNCTION("""COMPUTED_VALUE"""),"Macau                    ")</f>
        <v>Macau                    </v>
      </c>
      <c r="C1431" s="29" t="str">
        <f>IFERROR(__xludf.DUMMYFUNCTION("""COMPUTED_VALUE"""),"GAZ:00003202")</f>
        <v>GAZ:00003202</v>
      </c>
      <c r="D1431"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E1431" s="29"/>
      <c r="F1431" s="29"/>
      <c r="G1431" s="29"/>
      <c r="H1431" s="56" t="s">
        <v>19</v>
      </c>
      <c r="I1431" s="56" t="s">
        <v>19</v>
      </c>
      <c r="J1431" s="56" t="s">
        <v>19</v>
      </c>
      <c r="K1431" s="55" t="str">
        <f t="shared" si="74"/>
        <v>MPox</v>
      </c>
      <c r="M1431" s="40"/>
    </row>
    <row r="1432">
      <c r="A1432" s="29"/>
      <c r="B1432" s="53" t="str">
        <f>IFERROR(__xludf.DUMMYFUNCTION("""COMPUTED_VALUE"""),"Madagascar                    ")</f>
        <v>Madagascar                    </v>
      </c>
      <c r="C1432" s="29" t="str">
        <f>IFERROR(__xludf.DUMMYFUNCTION("""COMPUTED_VALUE"""),"GAZ:00001108")</f>
        <v>GAZ:00001108</v>
      </c>
      <c r="D1432"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E1432" s="29"/>
      <c r="F1432" s="29"/>
      <c r="G1432" s="29"/>
      <c r="H1432" s="56" t="s">
        <v>19</v>
      </c>
      <c r="I1432" s="56" t="s">
        <v>19</v>
      </c>
      <c r="J1432" s="56" t="s">
        <v>19</v>
      </c>
      <c r="K1432" s="55" t="str">
        <f t="shared" si="74"/>
        <v>MPox</v>
      </c>
      <c r="M1432" s="40"/>
    </row>
    <row r="1433">
      <c r="A1433" s="29"/>
      <c r="B1433" s="53" t="str">
        <f>IFERROR(__xludf.DUMMYFUNCTION("""COMPUTED_VALUE"""),"Malawi                    ")</f>
        <v>Malawi                    </v>
      </c>
      <c r="C1433" s="29" t="str">
        <f>IFERROR(__xludf.DUMMYFUNCTION("""COMPUTED_VALUE"""),"GAZ:00001105")</f>
        <v>GAZ:00001105</v>
      </c>
      <c r="D1433"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433" s="29"/>
      <c r="F1433" s="29"/>
      <c r="G1433" s="29"/>
      <c r="H1433" s="56" t="s">
        <v>19</v>
      </c>
      <c r="I1433" s="56" t="s">
        <v>19</v>
      </c>
      <c r="J1433" s="56" t="s">
        <v>19</v>
      </c>
      <c r="K1433" s="55" t="str">
        <f t="shared" si="74"/>
        <v>MPox</v>
      </c>
      <c r="M1433" s="40"/>
    </row>
    <row r="1434">
      <c r="A1434" s="29"/>
      <c r="B1434" s="53" t="str">
        <f>IFERROR(__xludf.DUMMYFUNCTION("""COMPUTED_VALUE"""),"Malaysia                    ")</f>
        <v>Malaysia                    </v>
      </c>
      <c r="C1434" s="29" t="str">
        <f>IFERROR(__xludf.DUMMYFUNCTION("""COMPUTED_VALUE"""),"GAZ:00003902")</f>
        <v>GAZ:00003902</v>
      </c>
      <c r="D1434"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E1434" s="29"/>
      <c r="F1434" s="29"/>
      <c r="G1434" s="29"/>
      <c r="H1434" s="56" t="s">
        <v>19</v>
      </c>
      <c r="I1434" s="56" t="s">
        <v>19</v>
      </c>
      <c r="J1434" s="56" t="s">
        <v>19</v>
      </c>
      <c r="K1434" s="55" t="str">
        <f t="shared" si="74"/>
        <v>MPox</v>
      </c>
      <c r="M1434" s="40"/>
    </row>
    <row r="1435">
      <c r="A1435" s="29"/>
      <c r="B1435" s="53" t="str">
        <f>IFERROR(__xludf.DUMMYFUNCTION("""COMPUTED_VALUE"""),"Maldives                    ")</f>
        <v>Maldives                    </v>
      </c>
      <c r="C1435" s="29" t="str">
        <f>IFERROR(__xludf.DUMMYFUNCTION("""COMPUTED_VALUE"""),"GAZ:00006924")</f>
        <v>GAZ:00006924</v>
      </c>
      <c r="D1435"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E1435" s="29"/>
      <c r="F1435" s="29"/>
      <c r="G1435" s="29"/>
      <c r="H1435" s="56" t="s">
        <v>19</v>
      </c>
      <c r="I1435" s="56" t="s">
        <v>19</v>
      </c>
      <c r="J1435" s="56" t="s">
        <v>19</v>
      </c>
      <c r="K1435" s="55" t="str">
        <f t="shared" si="74"/>
        <v>MPox</v>
      </c>
      <c r="M1435" s="40"/>
    </row>
    <row r="1436">
      <c r="A1436" s="29"/>
      <c r="B1436" s="53" t="str">
        <f>IFERROR(__xludf.DUMMYFUNCTION("""COMPUTED_VALUE"""),"Mali                    ")</f>
        <v>Mali                    </v>
      </c>
      <c r="C1436" s="29" t="str">
        <f>IFERROR(__xludf.DUMMYFUNCTION("""COMPUTED_VALUE"""),"GAZ:00000584")</f>
        <v>GAZ:00000584</v>
      </c>
      <c r="D1436"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E1436" s="29"/>
      <c r="F1436" s="29"/>
      <c r="G1436" s="29"/>
      <c r="H1436" s="56" t="s">
        <v>19</v>
      </c>
      <c r="I1436" s="56" t="s">
        <v>19</v>
      </c>
      <c r="J1436" s="56" t="s">
        <v>19</v>
      </c>
      <c r="K1436" s="55" t="str">
        <f t="shared" si="74"/>
        <v>MPox</v>
      </c>
      <c r="M1436" s="40"/>
    </row>
    <row r="1437">
      <c r="A1437" s="29"/>
      <c r="B1437" s="53" t="str">
        <f>IFERROR(__xludf.DUMMYFUNCTION("""COMPUTED_VALUE"""),"Malta                    ")</f>
        <v>Malta                    </v>
      </c>
      <c r="C1437" s="29" t="str">
        <f>IFERROR(__xludf.DUMMYFUNCTION("""COMPUTED_VALUE"""),"GAZ:00004017")</f>
        <v>GAZ:00004017</v>
      </c>
      <c r="D1437" s="29" t="str">
        <f>IFERROR(__xludf.DUMMYFUNCTION("""COMPUTED_VALUE"""),"A Southern European country and consists of an archipelago situated centrally in the Mediterranean.")</f>
        <v>A Southern European country and consists of an archipelago situated centrally in the Mediterranean.</v>
      </c>
      <c r="E1437" s="29"/>
      <c r="F1437" s="29"/>
      <c r="G1437" s="29"/>
      <c r="H1437" s="56" t="s">
        <v>19</v>
      </c>
      <c r="I1437" s="56" t="s">
        <v>19</v>
      </c>
      <c r="J1437" s="56" t="s">
        <v>19</v>
      </c>
      <c r="K1437" s="55" t="str">
        <f t="shared" si="74"/>
        <v>MPox</v>
      </c>
      <c r="M1437" s="40"/>
    </row>
    <row r="1438">
      <c r="A1438" s="29"/>
      <c r="B1438" s="53" t="str">
        <f>IFERROR(__xludf.DUMMYFUNCTION("""COMPUTED_VALUE"""),"Marshall Islands                    ")</f>
        <v>Marshall Islands                    </v>
      </c>
      <c r="C1438" s="29" t="str">
        <f>IFERROR(__xludf.DUMMYFUNCTION("""COMPUTED_VALUE"""),"GAZ:00007161")</f>
        <v>GAZ:00007161</v>
      </c>
      <c r="D1438"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E1438" s="29"/>
      <c r="F1438" s="29"/>
      <c r="G1438" s="29"/>
      <c r="H1438" s="56" t="s">
        <v>19</v>
      </c>
      <c r="I1438" s="56" t="s">
        <v>19</v>
      </c>
      <c r="J1438" s="56" t="s">
        <v>19</v>
      </c>
      <c r="K1438" s="55" t="str">
        <f t="shared" si="74"/>
        <v>MPox</v>
      </c>
      <c r="M1438" s="40"/>
    </row>
    <row r="1439">
      <c r="A1439" s="29"/>
      <c r="B1439" s="53" t="str">
        <f>IFERROR(__xludf.DUMMYFUNCTION("""COMPUTED_VALUE"""),"Martinique                    ")</f>
        <v>Martinique                    </v>
      </c>
      <c r="C1439" s="29" t="str">
        <f>IFERROR(__xludf.DUMMYFUNCTION("""COMPUTED_VALUE"""),"GAZ:00067143")</f>
        <v>GAZ:00067143</v>
      </c>
      <c r="D1439" s="29" t="str">
        <f>IFERROR(__xludf.DUMMYFUNCTION("""COMPUTED_VALUE"""),"An island and an overseas department/region and single territorial collectivity of France.")</f>
        <v>An island and an overseas department/region and single territorial collectivity of France.</v>
      </c>
      <c r="E1439" s="29"/>
      <c r="F1439" s="29"/>
      <c r="G1439" s="29"/>
      <c r="H1439" s="56" t="s">
        <v>19</v>
      </c>
      <c r="I1439" s="56" t="s">
        <v>19</v>
      </c>
      <c r="J1439" s="56" t="s">
        <v>19</v>
      </c>
      <c r="K1439" s="55" t="str">
        <f t="shared" si="74"/>
        <v>MPox</v>
      </c>
      <c r="M1439" s="40"/>
    </row>
    <row r="1440">
      <c r="A1440" s="29"/>
      <c r="B1440" s="53" t="str">
        <f>IFERROR(__xludf.DUMMYFUNCTION("""COMPUTED_VALUE"""),"Mauritania                    ")</f>
        <v>Mauritania                    </v>
      </c>
      <c r="C1440" s="29" t="str">
        <f>IFERROR(__xludf.DUMMYFUNCTION("""COMPUTED_VALUE"""),"GAZ:00000583")</f>
        <v>GAZ:00000583</v>
      </c>
      <c r="D1440"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E1440" s="29"/>
      <c r="F1440" s="29"/>
      <c r="G1440" s="29"/>
      <c r="H1440" s="56" t="s">
        <v>19</v>
      </c>
      <c r="I1440" s="56" t="s">
        <v>19</v>
      </c>
      <c r="J1440" s="56" t="s">
        <v>19</v>
      </c>
      <c r="K1440" s="55" t="str">
        <f t="shared" si="74"/>
        <v>MPox</v>
      </c>
      <c r="M1440" s="40"/>
    </row>
    <row r="1441">
      <c r="A1441" s="29"/>
      <c r="B1441" s="53" t="str">
        <f>IFERROR(__xludf.DUMMYFUNCTION("""COMPUTED_VALUE"""),"Mauritius                    ")</f>
        <v>Mauritius                    </v>
      </c>
      <c r="C1441" s="29" t="str">
        <f>IFERROR(__xludf.DUMMYFUNCTION("""COMPUTED_VALUE"""),"GAZ:00003745")</f>
        <v>GAZ:00003745</v>
      </c>
      <c r="D1441"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E1441" s="29"/>
      <c r="F1441" s="29"/>
      <c r="G1441" s="29"/>
      <c r="H1441" s="56" t="s">
        <v>19</v>
      </c>
      <c r="I1441" s="56" t="s">
        <v>19</v>
      </c>
      <c r="J1441" s="56" t="s">
        <v>19</v>
      </c>
      <c r="K1441" s="55" t="str">
        <f t="shared" si="74"/>
        <v>MPox</v>
      </c>
      <c r="M1441" s="40"/>
    </row>
    <row r="1442">
      <c r="A1442" s="30"/>
      <c r="B1442" s="53" t="str">
        <f>IFERROR(__xludf.DUMMYFUNCTION("""COMPUTED_VALUE"""),"Mayotte                    ")</f>
        <v>Mayotte                    </v>
      </c>
      <c r="C1442" s="29" t="str">
        <f>IFERROR(__xludf.DUMMYFUNCTION("""COMPUTED_VALUE"""),"GAZ:00003943")</f>
        <v>GAZ:00003943</v>
      </c>
      <c r="D1442"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E1442" s="29"/>
      <c r="F1442" s="29"/>
      <c r="G1442" s="29"/>
      <c r="H1442" s="56"/>
      <c r="I1442" s="56"/>
      <c r="J1442" s="56"/>
      <c r="K1442" s="35" t="s">
        <v>29</v>
      </c>
      <c r="M1442" s="40"/>
    </row>
    <row r="1443">
      <c r="A1443" s="29"/>
      <c r="B1443" s="53" t="str">
        <f>IFERROR(__xludf.DUMMYFUNCTION("""COMPUTED_VALUE"""),"Mexico                    ")</f>
        <v>Mexico                    </v>
      </c>
      <c r="C1443" s="29" t="str">
        <f>IFERROR(__xludf.DUMMYFUNCTION("""COMPUTED_VALUE"""),"GAZ:00002852")</f>
        <v>GAZ:00002852</v>
      </c>
      <c r="D1443"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E1443" s="29"/>
      <c r="F1443" s="29"/>
      <c r="G1443" s="29"/>
      <c r="H1443" s="56" t="s">
        <v>19</v>
      </c>
      <c r="I1443" s="56" t="s">
        <v>19</v>
      </c>
      <c r="J1443" s="56" t="s">
        <v>19</v>
      </c>
      <c r="K1443" s="55" t="str">
        <f t="shared" ref="K1443:K1448" si="75">K1442</f>
        <v>MPox</v>
      </c>
      <c r="M1443" s="40"/>
    </row>
    <row r="1444">
      <c r="A1444" s="29"/>
      <c r="B1444" s="53" t="str">
        <f>IFERROR(__xludf.DUMMYFUNCTION("""COMPUTED_VALUE"""),"Micronesia                    ")</f>
        <v>Micronesia                    </v>
      </c>
      <c r="C1444" s="29" t="str">
        <f>IFERROR(__xludf.DUMMYFUNCTION("""COMPUTED_VALUE"""),"GAZ:00005862")</f>
        <v>GAZ:00005862</v>
      </c>
      <c r="D1444"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E1444" s="29"/>
      <c r="F1444" s="29"/>
      <c r="G1444" s="29"/>
      <c r="H1444" s="56" t="s">
        <v>19</v>
      </c>
      <c r="I1444" s="56" t="s">
        <v>19</v>
      </c>
      <c r="J1444" s="56" t="s">
        <v>19</v>
      </c>
      <c r="K1444" s="55" t="str">
        <f t="shared" si="75"/>
        <v>MPox</v>
      </c>
      <c r="M1444" s="40"/>
    </row>
    <row r="1445">
      <c r="A1445" s="29"/>
      <c r="B1445" s="53" t="str">
        <f>IFERROR(__xludf.DUMMYFUNCTION("""COMPUTED_VALUE"""),"Midway Islands                    ")</f>
        <v>Midway Islands                    </v>
      </c>
      <c r="C1445" s="29" t="str">
        <f>IFERROR(__xludf.DUMMYFUNCTION("""COMPUTED_VALUE"""),"GAZ:00007112")</f>
        <v>GAZ:00007112</v>
      </c>
      <c r="D1445"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E1445" s="29"/>
      <c r="F1445" s="29"/>
      <c r="G1445" s="29"/>
      <c r="H1445" s="56" t="s">
        <v>19</v>
      </c>
      <c r="I1445" s="56" t="s">
        <v>19</v>
      </c>
      <c r="J1445" s="56" t="s">
        <v>19</v>
      </c>
      <c r="K1445" s="55" t="str">
        <f t="shared" si="75"/>
        <v>MPox</v>
      </c>
      <c r="M1445" s="40"/>
    </row>
    <row r="1446">
      <c r="A1446" s="29"/>
      <c r="B1446" s="53" t="str">
        <f>IFERROR(__xludf.DUMMYFUNCTION("""COMPUTED_VALUE"""),"Moldova                    ")</f>
        <v>Moldova                    </v>
      </c>
      <c r="C1446" s="29" t="str">
        <f>IFERROR(__xludf.DUMMYFUNCTION("""COMPUTED_VALUE"""),"GAZ:00003897")</f>
        <v>GAZ:00003897</v>
      </c>
      <c r="D1446"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E1446" s="29"/>
      <c r="F1446" s="29"/>
      <c r="G1446" s="29"/>
      <c r="H1446" s="56" t="s">
        <v>19</v>
      </c>
      <c r="I1446" s="56" t="s">
        <v>19</v>
      </c>
      <c r="J1446" s="56" t="s">
        <v>19</v>
      </c>
      <c r="K1446" s="55" t="str">
        <f t="shared" si="75"/>
        <v>MPox</v>
      </c>
      <c r="M1446" s="40"/>
    </row>
    <row r="1447">
      <c r="A1447" s="29"/>
      <c r="B1447" s="53" t="str">
        <f>IFERROR(__xludf.DUMMYFUNCTION("""COMPUTED_VALUE"""),"Monaco                    ")</f>
        <v>Monaco                    </v>
      </c>
      <c r="C1447" s="29" t="str">
        <f>IFERROR(__xludf.DUMMYFUNCTION("""COMPUTED_VALUE"""),"GAZ:00003857")</f>
        <v>GAZ:00003857</v>
      </c>
      <c r="D1447"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E1447" s="29"/>
      <c r="F1447" s="29"/>
      <c r="G1447" s="29"/>
      <c r="H1447" s="56" t="s">
        <v>19</v>
      </c>
      <c r="I1447" s="56" t="s">
        <v>19</v>
      </c>
      <c r="J1447" s="56" t="s">
        <v>19</v>
      </c>
      <c r="K1447" s="55" t="str">
        <f t="shared" si="75"/>
        <v>MPox</v>
      </c>
      <c r="M1447" s="40"/>
    </row>
    <row r="1448">
      <c r="A1448" s="29"/>
      <c r="B1448" s="53" t="str">
        <f>IFERROR(__xludf.DUMMYFUNCTION("""COMPUTED_VALUE"""),"Mongolia                    ")</f>
        <v>Mongolia                    </v>
      </c>
      <c r="C1448" s="29" t="str">
        <f>IFERROR(__xludf.DUMMYFUNCTION("""COMPUTED_VALUE"""),"GAZ:00008744")</f>
        <v>GAZ:00008744</v>
      </c>
      <c r="D1448"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E1448" s="29"/>
      <c r="F1448" s="29"/>
      <c r="G1448" s="29"/>
      <c r="H1448" s="56" t="s">
        <v>19</v>
      </c>
      <c r="I1448" s="56" t="s">
        <v>19</v>
      </c>
      <c r="J1448" s="56" t="s">
        <v>19</v>
      </c>
      <c r="K1448" s="55" t="str">
        <f t="shared" si="75"/>
        <v>MPox</v>
      </c>
      <c r="M1448" s="40"/>
    </row>
    <row r="1449">
      <c r="A1449" s="29"/>
      <c r="B1449" s="53" t="str">
        <f>IFERROR(__xludf.DUMMYFUNCTION("""COMPUTED_VALUE"""),"Montenegro                    ")</f>
        <v>Montenegro                    </v>
      </c>
      <c r="C1449" s="29" t="str">
        <f>IFERROR(__xludf.DUMMYFUNCTION("""COMPUTED_VALUE"""),"GAZ:00006898")</f>
        <v>GAZ:00006898</v>
      </c>
      <c r="D1449"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E1449" s="29"/>
      <c r="F1449" s="29"/>
      <c r="G1449" s="29"/>
      <c r="H1449" s="56" t="s">
        <v>19</v>
      </c>
      <c r="I1449" s="56" t="s">
        <v>19</v>
      </c>
      <c r="J1449" s="56" t="s">
        <v>19</v>
      </c>
      <c r="K1449" s="59" t="s">
        <v>29</v>
      </c>
      <c r="M1449" s="40"/>
      <c r="N1449" s="35" t="s">
        <v>31</v>
      </c>
    </row>
    <row r="1450">
      <c r="A1450" s="29"/>
      <c r="B1450" s="53" t="str">
        <f>IFERROR(__xludf.DUMMYFUNCTION("""COMPUTED_VALUE"""),"Montserrat                    ")</f>
        <v>Montserrat                    </v>
      </c>
      <c r="C1450" s="29" t="str">
        <f>IFERROR(__xludf.DUMMYFUNCTION("""COMPUTED_VALUE"""),"GAZ:00003988")</f>
        <v>GAZ:00003988</v>
      </c>
      <c r="D1450" s="29" t="str">
        <f>IFERROR(__xludf.DUMMYFUNCTION("""COMPUTED_VALUE"""),"A British overseas territory located in the Leeward Islands. Montserrat is divided into three parishes.")</f>
        <v>A British overseas territory located in the Leeward Islands. Montserrat is divided into three parishes.</v>
      </c>
      <c r="E1450" s="29"/>
      <c r="F1450" s="29"/>
      <c r="G1450" s="29"/>
      <c r="H1450" s="56" t="s">
        <v>19</v>
      </c>
      <c r="I1450" s="56" t="s">
        <v>19</v>
      </c>
      <c r="J1450" s="56" t="s">
        <v>19</v>
      </c>
      <c r="K1450" s="55" t="str">
        <f t="shared" ref="K1450:K1455" si="76">K1449</f>
        <v>MPox</v>
      </c>
      <c r="M1450" s="40"/>
    </row>
    <row r="1451">
      <c r="A1451" s="29"/>
      <c r="B1451" s="53" t="str">
        <f>IFERROR(__xludf.DUMMYFUNCTION("""COMPUTED_VALUE"""),"Morocco                    ")</f>
        <v>Morocco                    </v>
      </c>
      <c r="C1451" s="29" t="str">
        <f>IFERROR(__xludf.DUMMYFUNCTION("""COMPUTED_VALUE"""),"GAZ:00000565")</f>
        <v>GAZ:00000565</v>
      </c>
      <c r="D1451"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E1451" s="29"/>
      <c r="F1451" s="29"/>
      <c r="G1451" s="29"/>
      <c r="H1451" s="56" t="s">
        <v>19</v>
      </c>
      <c r="I1451" s="56" t="s">
        <v>19</v>
      </c>
      <c r="J1451" s="56" t="s">
        <v>19</v>
      </c>
      <c r="K1451" s="55" t="str">
        <f t="shared" si="76"/>
        <v>MPox</v>
      </c>
      <c r="M1451" s="40"/>
    </row>
    <row r="1452">
      <c r="A1452" s="29"/>
      <c r="B1452" s="53" t="str">
        <f>IFERROR(__xludf.DUMMYFUNCTION("""COMPUTED_VALUE"""),"Mozambique                    ")</f>
        <v>Mozambique                    </v>
      </c>
      <c r="C1452" s="29" t="str">
        <f>IFERROR(__xludf.DUMMYFUNCTION("""COMPUTED_VALUE"""),"GAZ:00001100")</f>
        <v>GAZ:00001100</v>
      </c>
      <c r="D1452"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E1452" s="29"/>
      <c r="F1452" s="29"/>
      <c r="G1452" s="29"/>
      <c r="H1452" s="56" t="s">
        <v>19</v>
      </c>
      <c r="I1452" s="56" t="s">
        <v>19</v>
      </c>
      <c r="J1452" s="56" t="s">
        <v>19</v>
      </c>
      <c r="K1452" s="55" t="str">
        <f t="shared" si="76"/>
        <v>MPox</v>
      </c>
      <c r="M1452" s="40"/>
    </row>
    <row r="1453">
      <c r="A1453" s="29"/>
      <c r="B1453" s="53" t="str">
        <f>IFERROR(__xludf.DUMMYFUNCTION("""COMPUTED_VALUE"""),"Myanmar                    ")</f>
        <v>Myanmar                    </v>
      </c>
      <c r="C1453" s="29" t="str">
        <f>IFERROR(__xludf.DUMMYFUNCTION("""COMPUTED_VALUE"""),"GAZ:00006899")</f>
        <v>GAZ:00006899</v>
      </c>
      <c r="D1453"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E1453" s="29"/>
      <c r="F1453" s="29"/>
      <c r="G1453" s="29"/>
      <c r="H1453" s="56" t="s">
        <v>19</v>
      </c>
      <c r="I1453" s="56" t="s">
        <v>19</v>
      </c>
      <c r="J1453" s="56" t="s">
        <v>19</v>
      </c>
      <c r="K1453" s="55" t="str">
        <f t="shared" si="76"/>
        <v>MPox</v>
      </c>
      <c r="M1453" s="40"/>
    </row>
    <row r="1454">
      <c r="A1454" s="29"/>
      <c r="B1454" s="53" t="str">
        <f>IFERROR(__xludf.DUMMYFUNCTION("""COMPUTED_VALUE"""),"Namibia                    ")</f>
        <v>Namibia                    </v>
      </c>
      <c r="C1454" s="29" t="str">
        <f>IFERROR(__xludf.DUMMYFUNCTION("""COMPUTED_VALUE"""),"GAZ:00001096")</f>
        <v>GAZ:00001096</v>
      </c>
      <c r="D1454"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E1454" s="29"/>
      <c r="F1454" s="29"/>
      <c r="G1454" s="29"/>
      <c r="H1454" s="56" t="s">
        <v>19</v>
      </c>
      <c r="I1454" s="56" t="s">
        <v>19</v>
      </c>
      <c r="J1454" s="56" t="s">
        <v>19</v>
      </c>
      <c r="K1454" s="55" t="str">
        <f t="shared" si="76"/>
        <v>MPox</v>
      </c>
      <c r="M1454" s="40"/>
    </row>
    <row r="1455">
      <c r="A1455" s="29"/>
      <c r="B1455" s="53" t="str">
        <f>IFERROR(__xludf.DUMMYFUNCTION("""COMPUTED_VALUE"""),"Nauru                    ")</f>
        <v>Nauru                    </v>
      </c>
      <c r="C1455" s="29" t="str">
        <f>IFERROR(__xludf.DUMMYFUNCTION("""COMPUTED_VALUE"""),"GAZ:00006900")</f>
        <v>GAZ:00006900</v>
      </c>
      <c r="D1455"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E1455" s="29"/>
      <c r="F1455" s="29"/>
      <c r="G1455" s="29"/>
      <c r="H1455" s="56" t="s">
        <v>19</v>
      </c>
      <c r="I1455" s="56" t="s">
        <v>19</v>
      </c>
      <c r="J1455" s="56" t="s">
        <v>19</v>
      </c>
      <c r="K1455" s="55" t="str">
        <f t="shared" si="76"/>
        <v>MPox</v>
      </c>
      <c r="M1455" s="40"/>
    </row>
    <row r="1456">
      <c r="A1456" s="29"/>
      <c r="B1456" s="53" t="str">
        <f>IFERROR(__xludf.DUMMYFUNCTION("""COMPUTED_VALUE"""),"Navassa Island                    ")</f>
        <v>Navassa Island                    </v>
      </c>
      <c r="C1456" s="29" t="str">
        <f>IFERROR(__xludf.DUMMYFUNCTION("""COMPUTED_VALUE"""),"GAZ:00007119")</f>
        <v>GAZ:00007119</v>
      </c>
      <c r="D1456"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E1456" s="29"/>
      <c r="F1456" s="29"/>
      <c r="G1456" s="29"/>
      <c r="H1456" s="56"/>
      <c r="I1456" s="56"/>
      <c r="J1456" s="56"/>
      <c r="K1456" s="35" t="s">
        <v>29</v>
      </c>
      <c r="M1456" s="40"/>
    </row>
    <row r="1457">
      <c r="A1457" s="29"/>
      <c r="B1457" s="53" t="str">
        <f>IFERROR(__xludf.DUMMYFUNCTION("""COMPUTED_VALUE"""),"Nepal                    ")</f>
        <v>Nepal                    </v>
      </c>
      <c r="C1457" s="29" t="str">
        <f>IFERROR(__xludf.DUMMYFUNCTION("""COMPUTED_VALUE"""),"GAZ:00004399")</f>
        <v>GAZ:00004399</v>
      </c>
      <c r="D1457"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E1457" s="29"/>
      <c r="F1457" s="29"/>
      <c r="G1457" s="29"/>
      <c r="H1457" s="56" t="s">
        <v>19</v>
      </c>
      <c r="I1457" s="56" t="s">
        <v>19</v>
      </c>
      <c r="J1457" s="56" t="s">
        <v>19</v>
      </c>
      <c r="K1457" s="55" t="str">
        <f t="shared" ref="K1457:K1558" si="77">K1456</f>
        <v>MPox</v>
      </c>
      <c r="M1457" s="40"/>
    </row>
    <row r="1458">
      <c r="A1458" s="29"/>
      <c r="B1458" s="53" t="str">
        <f>IFERROR(__xludf.DUMMYFUNCTION("""COMPUTED_VALUE"""),"Netherlands                    ")</f>
        <v>Netherlands                    </v>
      </c>
      <c r="C1458" s="29" t="str">
        <f>IFERROR(__xludf.DUMMYFUNCTION("""COMPUTED_VALUE"""),"GAZ:00002946")</f>
        <v>GAZ:00002946</v>
      </c>
      <c r="D1458"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E1458" s="29"/>
      <c r="F1458" s="29"/>
      <c r="G1458" s="29"/>
      <c r="H1458" s="56" t="s">
        <v>19</v>
      </c>
      <c r="I1458" s="56" t="s">
        <v>19</v>
      </c>
      <c r="J1458" s="56" t="s">
        <v>19</v>
      </c>
      <c r="K1458" s="55" t="str">
        <f t="shared" si="77"/>
        <v>MPox</v>
      </c>
      <c r="M1458" s="40"/>
    </row>
    <row r="1459">
      <c r="A1459" s="29"/>
      <c r="B1459" s="53" t="str">
        <f>IFERROR(__xludf.DUMMYFUNCTION("""COMPUTED_VALUE"""),"New Caledonia                    ")</f>
        <v>New Caledonia                    </v>
      </c>
      <c r="C1459" s="29" t="str">
        <f>IFERROR(__xludf.DUMMYFUNCTION("""COMPUTED_VALUE"""),"GAZ:00005206")</f>
        <v>GAZ:00005206</v>
      </c>
      <c r="D1459"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E1459" s="29"/>
      <c r="F1459" s="29"/>
      <c r="G1459" s="29"/>
      <c r="H1459" s="56" t="s">
        <v>19</v>
      </c>
      <c r="I1459" s="56" t="s">
        <v>19</v>
      </c>
      <c r="J1459" s="56" t="s">
        <v>19</v>
      </c>
      <c r="K1459" s="55" t="str">
        <f t="shared" si="77"/>
        <v>MPox</v>
      </c>
      <c r="M1459" s="40"/>
    </row>
    <row r="1460">
      <c r="A1460" s="29"/>
      <c r="B1460" s="53" t="str">
        <f>IFERROR(__xludf.DUMMYFUNCTION("""COMPUTED_VALUE"""),"New Zealand                    ")</f>
        <v>New Zealand                    </v>
      </c>
      <c r="C1460" s="29" t="str">
        <f>IFERROR(__xludf.DUMMYFUNCTION("""COMPUTED_VALUE"""),"GAZ:00000469")</f>
        <v>GAZ:00000469</v>
      </c>
      <c r="D1460"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E1460" s="29"/>
      <c r="F1460" s="29"/>
      <c r="G1460" s="29"/>
      <c r="H1460" s="56" t="s">
        <v>19</v>
      </c>
      <c r="I1460" s="56" t="s">
        <v>19</v>
      </c>
      <c r="J1460" s="56" t="s">
        <v>19</v>
      </c>
      <c r="K1460" s="55" t="str">
        <f t="shared" si="77"/>
        <v>MPox</v>
      </c>
      <c r="M1460" s="40"/>
    </row>
    <row r="1461">
      <c r="A1461" s="29"/>
      <c r="B1461" s="53" t="str">
        <f>IFERROR(__xludf.DUMMYFUNCTION("""COMPUTED_VALUE"""),"Nicaragua                    ")</f>
        <v>Nicaragua                    </v>
      </c>
      <c r="C1461" s="29" t="str">
        <f>IFERROR(__xludf.DUMMYFUNCTION("""COMPUTED_VALUE"""),"GAZ:00002978")</f>
        <v>GAZ:00002978</v>
      </c>
      <c r="D1461"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E1461" s="29"/>
      <c r="F1461" s="29"/>
      <c r="G1461" s="29"/>
      <c r="H1461" s="56" t="s">
        <v>19</v>
      </c>
      <c r="I1461" s="56" t="s">
        <v>19</v>
      </c>
      <c r="J1461" s="56" t="s">
        <v>19</v>
      </c>
      <c r="K1461" s="55" t="str">
        <f t="shared" si="77"/>
        <v>MPox</v>
      </c>
      <c r="M1461" s="40"/>
    </row>
    <row r="1462">
      <c r="A1462" s="29"/>
      <c r="B1462" s="53" t="str">
        <f>IFERROR(__xludf.DUMMYFUNCTION("""COMPUTED_VALUE"""),"Niger                    ")</f>
        <v>Niger                    </v>
      </c>
      <c r="C1462" s="29" t="str">
        <f>IFERROR(__xludf.DUMMYFUNCTION("""COMPUTED_VALUE"""),"GAZ:00000585")</f>
        <v>GAZ:00000585</v>
      </c>
      <c r="D1462"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E1462" s="29"/>
      <c r="F1462" s="29"/>
      <c r="G1462" s="29"/>
      <c r="H1462" s="56" t="s">
        <v>19</v>
      </c>
      <c r="I1462" s="56" t="s">
        <v>19</v>
      </c>
      <c r="J1462" s="56" t="s">
        <v>19</v>
      </c>
      <c r="K1462" s="55" t="str">
        <f t="shared" si="77"/>
        <v>MPox</v>
      </c>
      <c r="M1462" s="40"/>
    </row>
    <row r="1463">
      <c r="A1463" s="29"/>
      <c r="B1463" s="53" t="str">
        <f>IFERROR(__xludf.DUMMYFUNCTION("""COMPUTED_VALUE"""),"Nigeria                    ")</f>
        <v>Nigeria                    </v>
      </c>
      <c r="C1463" s="29" t="str">
        <f>IFERROR(__xludf.DUMMYFUNCTION("""COMPUTED_VALUE"""),"GAZ:00000912")</f>
        <v>GAZ:00000912</v>
      </c>
      <c r="D1463"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E1463" s="29"/>
      <c r="F1463" s="29"/>
      <c r="G1463" s="29"/>
      <c r="H1463" s="56" t="s">
        <v>19</v>
      </c>
      <c r="I1463" s="56" t="s">
        <v>19</v>
      </c>
      <c r="J1463" s="56" t="s">
        <v>19</v>
      </c>
      <c r="K1463" s="55" t="str">
        <f t="shared" si="77"/>
        <v>MPox</v>
      </c>
      <c r="M1463" s="40"/>
    </row>
    <row r="1464">
      <c r="A1464" s="29"/>
      <c r="B1464" s="53" t="str">
        <f>IFERROR(__xludf.DUMMYFUNCTION("""COMPUTED_VALUE"""),"Niue                    ")</f>
        <v>Niue                    </v>
      </c>
      <c r="C1464" s="29" t="str">
        <f>IFERROR(__xludf.DUMMYFUNCTION("""COMPUTED_VALUE"""),"GAZ:00006902")</f>
        <v>GAZ:00006902</v>
      </c>
      <c r="D1464"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E1464" s="29"/>
      <c r="F1464" s="29"/>
      <c r="G1464" s="29"/>
      <c r="H1464" s="56" t="s">
        <v>19</v>
      </c>
      <c r="I1464" s="56" t="s">
        <v>19</v>
      </c>
      <c r="J1464" s="56" t="s">
        <v>19</v>
      </c>
      <c r="K1464" s="55" t="str">
        <f t="shared" si="77"/>
        <v>MPox</v>
      </c>
      <c r="M1464" s="40"/>
    </row>
    <row r="1465">
      <c r="A1465" s="29"/>
      <c r="B1465" s="53" t="str">
        <f>IFERROR(__xludf.DUMMYFUNCTION("""COMPUTED_VALUE"""),"Norfolk Island                    ")</f>
        <v>Norfolk Island                    </v>
      </c>
      <c r="C1465" s="29" t="str">
        <f>IFERROR(__xludf.DUMMYFUNCTION("""COMPUTED_VALUE"""),"GAZ:00005908")</f>
        <v>GAZ:00005908</v>
      </c>
      <c r="D1465" s="29" t="str">
        <f>IFERROR(__xludf.DUMMYFUNCTION("""COMPUTED_VALUE"""),"A Territory of Australia that includes Norfolk Island and neighboring islands.")</f>
        <v>A Territory of Australia that includes Norfolk Island and neighboring islands.</v>
      </c>
      <c r="E1465" s="29"/>
      <c r="F1465" s="29"/>
      <c r="G1465" s="29"/>
      <c r="H1465" s="56" t="s">
        <v>19</v>
      </c>
      <c r="I1465" s="56" t="s">
        <v>19</v>
      </c>
      <c r="J1465" s="56" t="s">
        <v>19</v>
      </c>
      <c r="K1465" s="55" t="str">
        <f t="shared" si="77"/>
        <v>MPox</v>
      </c>
      <c r="M1465" s="40"/>
    </row>
    <row r="1466">
      <c r="A1466" s="29"/>
      <c r="B1466" s="53" t="str">
        <f>IFERROR(__xludf.DUMMYFUNCTION("""COMPUTED_VALUE"""),"North Korea                    ")</f>
        <v>North Korea                    </v>
      </c>
      <c r="C1466" s="29" t="str">
        <f>IFERROR(__xludf.DUMMYFUNCTION("""COMPUTED_VALUE"""),"GAZ:00002801")</f>
        <v>GAZ:00002801</v>
      </c>
      <c r="D1466"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E1466" s="29"/>
      <c r="F1466" s="29"/>
      <c r="G1466" s="29"/>
      <c r="H1466" s="56" t="s">
        <v>19</v>
      </c>
      <c r="I1466" s="56" t="s">
        <v>19</v>
      </c>
      <c r="J1466" s="56" t="s">
        <v>19</v>
      </c>
      <c r="K1466" s="55" t="str">
        <f t="shared" si="77"/>
        <v>MPox</v>
      </c>
      <c r="M1466" s="40"/>
    </row>
    <row r="1467">
      <c r="A1467" s="29"/>
      <c r="B1467" s="53" t="str">
        <f>IFERROR(__xludf.DUMMYFUNCTION("""COMPUTED_VALUE"""),"North Macedonia                    ")</f>
        <v>North Macedonia                    </v>
      </c>
      <c r="C1467" s="29" t="str">
        <f>IFERROR(__xludf.DUMMYFUNCTION("""COMPUTED_VALUE"""),"GAZ:00006895")</f>
        <v>GAZ:00006895</v>
      </c>
      <c r="D1467"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E1467" s="29"/>
      <c r="F1467" s="29"/>
      <c r="G1467" s="29"/>
      <c r="H1467" s="56" t="s">
        <v>19</v>
      </c>
      <c r="I1467" s="56" t="s">
        <v>19</v>
      </c>
      <c r="J1467" s="56" t="s">
        <v>19</v>
      </c>
      <c r="K1467" s="55" t="str">
        <f t="shared" si="77"/>
        <v>MPox</v>
      </c>
      <c r="M1467" s="40"/>
    </row>
    <row r="1468">
      <c r="A1468" s="29"/>
      <c r="B1468" s="53" t="str">
        <f>IFERROR(__xludf.DUMMYFUNCTION("""COMPUTED_VALUE"""),"North Sea                    ")</f>
        <v>North Sea                    </v>
      </c>
      <c r="C1468" s="29" t="str">
        <f>IFERROR(__xludf.DUMMYFUNCTION("""COMPUTED_VALUE"""),"GAZ:00002284")</f>
        <v>GAZ:00002284</v>
      </c>
      <c r="D1468" s="29" t="str">
        <f>IFERROR(__xludf.DUMMYFUNCTION("""COMPUTED_VALUE"""),"A sea situated between the eastern coasts of the British Isles and the western coast of Europe.")</f>
        <v>A sea situated between the eastern coasts of the British Isles and the western coast of Europe.</v>
      </c>
      <c r="E1468" s="29"/>
      <c r="F1468" s="29"/>
      <c r="G1468" s="29"/>
      <c r="H1468" s="56" t="s">
        <v>19</v>
      </c>
      <c r="I1468" s="56" t="s">
        <v>19</v>
      </c>
      <c r="J1468" s="56" t="s">
        <v>19</v>
      </c>
      <c r="K1468" s="55" t="str">
        <f t="shared" si="77"/>
        <v>MPox</v>
      </c>
      <c r="M1468" s="40"/>
    </row>
    <row r="1469">
      <c r="A1469" s="29"/>
      <c r="B1469" s="53" t="str">
        <f>IFERROR(__xludf.DUMMYFUNCTION("""COMPUTED_VALUE"""),"Northern Mariana Islands                    ")</f>
        <v>Northern Mariana Islands                    </v>
      </c>
      <c r="C1469" s="29" t="str">
        <f>IFERROR(__xludf.DUMMYFUNCTION("""COMPUTED_VALUE"""),"GAZ:00003958")</f>
        <v>GAZ:00003958</v>
      </c>
      <c r="D1469" s="29" t="str">
        <f>IFERROR(__xludf.DUMMYFUNCTION("""COMPUTED_VALUE"""),"A group of 15 islands about three-quarters of the way from Hawaii to the Philippines.")</f>
        <v>A group of 15 islands about three-quarters of the way from Hawaii to the Philippines.</v>
      </c>
      <c r="E1469" s="29"/>
      <c r="F1469" s="29"/>
      <c r="G1469" s="29"/>
      <c r="H1469" s="56" t="s">
        <v>19</v>
      </c>
      <c r="I1469" s="56" t="s">
        <v>19</v>
      </c>
      <c r="J1469" s="56" t="s">
        <v>19</v>
      </c>
      <c r="K1469" s="55" t="str">
        <f t="shared" si="77"/>
        <v>MPox</v>
      </c>
      <c r="M1469" s="40"/>
    </row>
    <row r="1470">
      <c r="A1470" s="29"/>
      <c r="B1470" s="53" t="str">
        <f>IFERROR(__xludf.DUMMYFUNCTION("""COMPUTED_VALUE"""),"Norway                    ")</f>
        <v>Norway                    </v>
      </c>
      <c r="C1470" s="29" t="str">
        <f>IFERROR(__xludf.DUMMYFUNCTION("""COMPUTED_VALUE"""),"GAZ:00002699")</f>
        <v>GAZ:00002699</v>
      </c>
      <c r="D1470"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E1470" s="29"/>
      <c r="F1470" s="29"/>
      <c r="G1470" s="29"/>
      <c r="H1470" s="56" t="s">
        <v>19</v>
      </c>
      <c r="I1470" s="56" t="s">
        <v>19</v>
      </c>
      <c r="J1470" s="56" t="s">
        <v>19</v>
      </c>
      <c r="K1470" s="55" t="str">
        <f t="shared" si="77"/>
        <v>MPox</v>
      </c>
      <c r="M1470" s="40"/>
    </row>
    <row r="1471">
      <c r="A1471" s="29"/>
      <c r="B1471" s="53" t="str">
        <f>IFERROR(__xludf.DUMMYFUNCTION("""COMPUTED_VALUE"""),"Oman                    ")</f>
        <v>Oman                    </v>
      </c>
      <c r="C1471" s="29" t="str">
        <f>IFERROR(__xludf.DUMMYFUNCTION("""COMPUTED_VALUE"""),"GAZ:00005283")</f>
        <v>GAZ:00005283</v>
      </c>
      <c r="D1471"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E1471" s="29"/>
      <c r="F1471" s="29"/>
      <c r="G1471" s="29"/>
      <c r="H1471" s="56" t="s">
        <v>19</v>
      </c>
      <c r="I1471" s="56" t="s">
        <v>19</v>
      </c>
      <c r="J1471" s="56" t="s">
        <v>19</v>
      </c>
      <c r="K1471" s="55" t="str">
        <f t="shared" si="77"/>
        <v>MPox</v>
      </c>
      <c r="M1471" s="40"/>
    </row>
    <row r="1472">
      <c r="A1472" s="29"/>
      <c r="B1472" s="53" t="str">
        <f>IFERROR(__xludf.DUMMYFUNCTION("""COMPUTED_VALUE"""),"Pakistan                    ")</f>
        <v>Pakistan                    </v>
      </c>
      <c r="C1472" s="29" t="str">
        <f>IFERROR(__xludf.DUMMYFUNCTION("""COMPUTED_VALUE"""),"GAZ:00005246")</f>
        <v>GAZ:00005246</v>
      </c>
      <c r="D1472"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E1472" s="29"/>
      <c r="F1472" s="29"/>
      <c r="G1472" s="29"/>
      <c r="H1472" s="56" t="s">
        <v>19</v>
      </c>
      <c r="I1472" s="56" t="s">
        <v>19</v>
      </c>
      <c r="J1472" s="56" t="s">
        <v>19</v>
      </c>
      <c r="K1472" s="55" t="str">
        <f t="shared" si="77"/>
        <v>MPox</v>
      </c>
      <c r="M1472" s="40"/>
    </row>
    <row r="1473">
      <c r="A1473" s="29"/>
      <c r="B1473" s="53" t="str">
        <f>IFERROR(__xludf.DUMMYFUNCTION("""COMPUTED_VALUE"""),"Palau                    ")</f>
        <v>Palau                    </v>
      </c>
      <c r="C1473" s="29" t="str">
        <f>IFERROR(__xludf.DUMMYFUNCTION("""COMPUTED_VALUE"""),"GAZ:00006905")</f>
        <v>GAZ:00006905</v>
      </c>
      <c r="D1473"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E1473" s="29"/>
      <c r="F1473" s="29"/>
      <c r="G1473" s="29"/>
      <c r="H1473" s="56" t="s">
        <v>19</v>
      </c>
      <c r="I1473" s="56" t="s">
        <v>19</v>
      </c>
      <c r="J1473" s="56" t="s">
        <v>19</v>
      </c>
      <c r="K1473" s="55" t="str">
        <f t="shared" si="77"/>
        <v>MPox</v>
      </c>
      <c r="M1473" s="40"/>
    </row>
    <row r="1474">
      <c r="A1474" s="29"/>
      <c r="B1474" s="53" t="str">
        <f>IFERROR(__xludf.DUMMYFUNCTION("""COMPUTED_VALUE"""),"Panama                    ")</f>
        <v>Panama                    </v>
      </c>
      <c r="C1474" s="29" t="str">
        <f>IFERROR(__xludf.DUMMYFUNCTION("""COMPUTED_VALUE"""),"GAZ:00002892")</f>
        <v>GAZ:00002892</v>
      </c>
      <c r="D1474"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E1474" s="29"/>
      <c r="F1474" s="29"/>
      <c r="G1474" s="29"/>
      <c r="H1474" s="56" t="s">
        <v>19</v>
      </c>
      <c r="I1474" s="56" t="s">
        <v>19</v>
      </c>
      <c r="J1474" s="56" t="s">
        <v>19</v>
      </c>
      <c r="K1474" s="55" t="str">
        <f t="shared" si="77"/>
        <v>MPox</v>
      </c>
      <c r="M1474" s="40"/>
    </row>
    <row r="1475">
      <c r="A1475" s="29"/>
      <c r="B1475" s="53" t="str">
        <f>IFERROR(__xludf.DUMMYFUNCTION("""COMPUTED_VALUE"""),"Papua New Guinea                    ")</f>
        <v>Papua New Guinea                    </v>
      </c>
      <c r="C1475" s="29" t="str">
        <f>IFERROR(__xludf.DUMMYFUNCTION("""COMPUTED_VALUE"""),"GAZ:00003922")</f>
        <v>GAZ:00003922</v>
      </c>
      <c r="D1475"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E1475" s="29"/>
      <c r="F1475" s="29"/>
      <c r="G1475" s="29"/>
      <c r="H1475" s="56" t="s">
        <v>19</v>
      </c>
      <c r="I1475" s="56" t="s">
        <v>19</v>
      </c>
      <c r="J1475" s="56" t="s">
        <v>19</v>
      </c>
      <c r="K1475" s="55" t="str">
        <f t="shared" si="77"/>
        <v>MPox</v>
      </c>
      <c r="M1475" s="40"/>
    </row>
    <row r="1476">
      <c r="A1476" s="29"/>
      <c r="B1476" s="53" t="str">
        <f>IFERROR(__xludf.DUMMYFUNCTION("""COMPUTED_VALUE"""),"Paracel Islands                    ")</f>
        <v>Paracel Islands                    </v>
      </c>
      <c r="C1476" s="29" t="str">
        <f>IFERROR(__xludf.DUMMYFUNCTION("""COMPUTED_VALUE"""),"GAZ:00010832")</f>
        <v>GAZ:00010832</v>
      </c>
      <c r="D1476"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E1476" s="29"/>
      <c r="F1476" s="29"/>
      <c r="G1476" s="29"/>
      <c r="H1476" s="56" t="s">
        <v>19</v>
      </c>
      <c r="I1476" s="56" t="s">
        <v>19</v>
      </c>
      <c r="J1476" s="56" t="s">
        <v>19</v>
      </c>
      <c r="K1476" s="55" t="str">
        <f t="shared" si="77"/>
        <v>MPox</v>
      </c>
      <c r="M1476" s="40"/>
    </row>
    <row r="1477">
      <c r="A1477" s="29"/>
      <c r="B1477" s="53" t="str">
        <f>IFERROR(__xludf.DUMMYFUNCTION("""COMPUTED_VALUE"""),"Paraguay                    ")</f>
        <v>Paraguay                    </v>
      </c>
      <c r="C1477" s="29" t="str">
        <f>IFERROR(__xludf.DUMMYFUNCTION("""COMPUTED_VALUE"""),"GAZ:00002933")</f>
        <v>GAZ:00002933</v>
      </c>
      <c r="D1477"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E1477" s="29"/>
      <c r="F1477" s="29"/>
      <c r="G1477" s="29"/>
      <c r="H1477" s="56" t="s">
        <v>19</v>
      </c>
      <c r="I1477" s="56" t="s">
        <v>19</v>
      </c>
      <c r="J1477" s="56" t="s">
        <v>19</v>
      </c>
      <c r="K1477" s="55" t="str">
        <f t="shared" si="77"/>
        <v>MPox</v>
      </c>
      <c r="M1477" s="40"/>
    </row>
    <row r="1478">
      <c r="A1478" s="29"/>
      <c r="B1478" s="53" t="str">
        <f>IFERROR(__xludf.DUMMYFUNCTION("""COMPUTED_VALUE"""),"Peru                    ")</f>
        <v>Peru                    </v>
      </c>
      <c r="C1478" s="29" t="str">
        <f>IFERROR(__xludf.DUMMYFUNCTION("""COMPUTED_VALUE"""),"GAZ:00002932")</f>
        <v>GAZ:00002932</v>
      </c>
      <c r="D1478"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E1478" s="29"/>
      <c r="F1478" s="29"/>
      <c r="G1478" s="29"/>
      <c r="H1478" s="56" t="s">
        <v>19</v>
      </c>
      <c r="I1478" s="56" t="s">
        <v>19</v>
      </c>
      <c r="J1478" s="56" t="s">
        <v>19</v>
      </c>
      <c r="K1478" s="55" t="str">
        <f t="shared" si="77"/>
        <v>MPox</v>
      </c>
      <c r="M1478" s="40"/>
    </row>
    <row r="1479">
      <c r="A1479" s="29"/>
      <c r="B1479" s="53" t="str">
        <f>IFERROR(__xludf.DUMMYFUNCTION("""COMPUTED_VALUE"""),"Philippines                    ")</f>
        <v>Philippines                    </v>
      </c>
      <c r="C1479" s="29" t="str">
        <f>IFERROR(__xludf.DUMMYFUNCTION("""COMPUTED_VALUE"""),"GAZ:00004525")</f>
        <v>GAZ:00004525</v>
      </c>
      <c r="D1479"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E1479" s="29"/>
      <c r="F1479" s="29"/>
      <c r="G1479" s="29"/>
      <c r="H1479" s="56" t="s">
        <v>19</v>
      </c>
      <c r="I1479" s="56" t="s">
        <v>19</v>
      </c>
      <c r="J1479" s="56" t="s">
        <v>19</v>
      </c>
      <c r="K1479" s="55" t="str">
        <f t="shared" si="77"/>
        <v>MPox</v>
      </c>
      <c r="M1479" s="40"/>
    </row>
    <row r="1480">
      <c r="A1480" s="29"/>
      <c r="B1480" s="53" t="str">
        <f>IFERROR(__xludf.DUMMYFUNCTION("""COMPUTED_VALUE"""),"Pitcairn Islands                    ")</f>
        <v>Pitcairn Islands                    </v>
      </c>
      <c r="C1480" s="29" t="str">
        <f>IFERROR(__xludf.DUMMYFUNCTION("""COMPUTED_VALUE"""),"GAZ:00005867")</f>
        <v>GAZ:00005867</v>
      </c>
      <c r="D1480"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E1480" s="29"/>
      <c r="F1480" s="29"/>
      <c r="G1480" s="29"/>
      <c r="H1480" s="56" t="s">
        <v>19</v>
      </c>
      <c r="I1480" s="56" t="s">
        <v>19</v>
      </c>
      <c r="J1480" s="56" t="s">
        <v>19</v>
      </c>
      <c r="K1480" s="55" t="str">
        <f t="shared" si="77"/>
        <v>MPox</v>
      </c>
      <c r="M1480" s="40"/>
    </row>
    <row r="1481">
      <c r="A1481" s="29"/>
      <c r="B1481" s="53" t="str">
        <f>IFERROR(__xludf.DUMMYFUNCTION("""COMPUTED_VALUE"""),"Poland                    ")</f>
        <v>Poland                    </v>
      </c>
      <c r="C1481" s="29" t="str">
        <f>IFERROR(__xludf.DUMMYFUNCTION("""COMPUTED_VALUE"""),"GAZ:00002939")</f>
        <v>GAZ:00002939</v>
      </c>
      <c r="D1481"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E1481" s="29"/>
      <c r="F1481" s="29"/>
      <c r="G1481" s="29"/>
      <c r="H1481" s="56" t="s">
        <v>19</v>
      </c>
      <c r="I1481" s="56" t="s">
        <v>19</v>
      </c>
      <c r="J1481" s="56" t="s">
        <v>19</v>
      </c>
      <c r="K1481" s="55" t="str">
        <f t="shared" si="77"/>
        <v>MPox</v>
      </c>
      <c r="M1481" s="40"/>
    </row>
    <row r="1482">
      <c r="A1482" s="29"/>
      <c r="B1482" s="53" t="str">
        <f>IFERROR(__xludf.DUMMYFUNCTION("""COMPUTED_VALUE"""),"Portugal                    ")</f>
        <v>Portugal                    </v>
      </c>
      <c r="C1482" s="29" t="str">
        <f>IFERROR(__xludf.DUMMYFUNCTION("""COMPUTED_VALUE"""),"GAZ:00004126")</f>
        <v>GAZ:00004126</v>
      </c>
      <c r="D1482"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E1482" s="29"/>
      <c r="F1482" s="29"/>
      <c r="G1482" s="29"/>
      <c r="H1482" s="56" t="s">
        <v>19</v>
      </c>
      <c r="I1482" s="56" t="s">
        <v>19</v>
      </c>
      <c r="J1482" s="56" t="s">
        <v>19</v>
      </c>
      <c r="K1482" s="55" t="str">
        <f t="shared" si="77"/>
        <v>MPox</v>
      </c>
      <c r="M1482" s="40"/>
    </row>
    <row r="1483">
      <c r="A1483" s="29"/>
      <c r="B1483" s="53" t="str">
        <f>IFERROR(__xludf.DUMMYFUNCTION("""COMPUTED_VALUE"""),"Puerto Rico                    ")</f>
        <v>Puerto Rico                    </v>
      </c>
      <c r="C1483" s="29" t="str">
        <f>IFERROR(__xludf.DUMMYFUNCTION("""COMPUTED_VALUE"""),"GAZ:00006935")</f>
        <v>GAZ:00006935</v>
      </c>
      <c r="D1483"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E1483" s="29"/>
      <c r="F1483" s="29"/>
      <c r="G1483" s="29"/>
      <c r="H1483" s="56" t="s">
        <v>19</v>
      </c>
      <c r="I1483" s="56" t="s">
        <v>19</v>
      </c>
      <c r="J1483" s="56" t="s">
        <v>19</v>
      </c>
      <c r="K1483" s="55" t="str">
        <f t="shared" si="77"/>
        <v>MPox</v>
      </c>
      <c r="M1483" s="40"/>
    </row>
    <row r="1484">
      <c r="A1484" s="29"/>
      <c r="B1484" s="53" t="str">
        <f>IFERROR(__xludf.DUMMYFUNCTION("""COMPUTED_VALUE"""),"Qatar                    ")</f>
        <v>Qatar                    </v>
      </c>
      <c r="C1484" s="29" t="str">
        <f>IFERROR(__xludf.DUMMYFUNCTION("""COMPUTED_VALUE"""),"GAZ:00005286")</f>
        <v>GAZ:00005286</v>
      </c>
      <c r="D1484"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E1484" s="29"/>
      <c r="F1484" s="29"/>
      <c r="G1484" s="29"/>
      <c r="H1484" s="56" t="s">
        <v>19</v>
      </c>
      <c r="I1484" s="56" t="s">
        <v>19</v>
      </c>
      <c r="J1484" s="56" t="s">
        <v>19</v>
      </c>
      <c r="K1484" s="55" t="str">
        <f t="shared" si="77"/>
        <v>MPox</v>
      </c>
      <c r="M1484" s="40"/>
    </row>
    <row r="1485">
      <c r="A1485" s="29"/>
      <c r="B1485" s="53" t="str">
        <f>IFERROR(__xludf.DUMMYFUNCTION("""COMPUTED_VALUE"""),"Republic of the Congo                    ")</f>
        <v>Republic of the Congo                    </v>
      </c>
      <c r="C1485" s="29" t="str">
        <f>IFERROR(__xludf.DUMMYFUNCTION("""COMPUTED_VALUE"""),"GAZ:00001088")</f>
        <v>GAZ:00001088</v>
      </c>
      <c r="D1485"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E1485" s="29"/>
      <c r="F1485" s="29"/>
      <c r="G1485" s="29"/>
      <c r="H1485" s="56" t="s">
        <v>19</v>
      </c>
      <c r="I1485" s="56" t="s">
        <v>19</v>
      </c>
      <c r="J1485" s="56" t="s">
        <v>19</v>
      </c>
      <c r="K1485" s="55" t="str">
        <f t="shared" si="77"/>
        <v>MPox</v>
      </c>
      <c r="M1485" s="40"/>
    </row>
    <row r="1486">
      <c r="A1486" s="29"/>
      <c r="B1486" s="53" t="str">
        <f>IFERROR(__xludf.DUMMYFUNCTION("""COMPUTED_VALUE"""),"Reunion                    ")</f>
        <v>Reunion                    </v>
      </c>
      <c r="C1486" s="29" t="str">
        <f>IFERROR(__xludf.DUMMYFUNCTION("""COMPUTED_VALUE"""),"GAZ:00003945")</f>
        <v>GAZ:00003945</v>
      </c>
      <c r="D1486"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E1486" s="29"/>
      <c r="F1486" s="29"/>
      <c r="G1486" s="29"/>
      <c r="H1486" s="56" t="s">
        <v>19</v>
      </c>
      <c r="I1486" s="56" t="s">
        <v>19</v>
      </c>
      <c r="J1486" s="56" t="s">
        <v>19</v>
      </c>
      <c r="K1486" s="55" t="str">
        <f t="shared" si="77"/>
        <v>MPox</v>
      </c>
      <c r="M1486" s="40"/>
    </row>
    <row r="1487">
      <c r="A1487" s="29"/>
      <c r="B1487" s="53" t="str">
        <f>IFERROR(__xludf.DUMMYFUNCTION("""COMPUTED_VALUE"""),"Romania                    ")</f>
        <v>Romania                    </v>
      </c>
      <c r="C1487" s="29" t="str">
        <f>IFERROR(__xludf.DUMMYFUNCTION("""COMPUTED_VALUE"""),"GAZ:00002951")</f>
        <v>GAZ:00002951</v>
      </c>
      <c r="D1487"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E1487" s="29"/>
      <c r="F1487" s="29"/>
      <c r="G1487" s="29"/>
      <c r="H1487" s="56" t="s">
        <v>19</v>
      </c>
      <c r="I1487" s="56" t="s">
        <v>19</v>
      </c>
      <c r="J1487" s="56" t="s">
        <v>19</v>
      </c>
      <c r="K1487" s="55" t="str">
        <f t="shared" si="77"/>
        <v>MPox</v>
      </c>
      <c r="M1487" s="40"/>
    </row>
    <row r="1488">
      <c r="A1488" s="29"/>
      <c r="B1488" s="53" t="str">
        <f>IFERROR(__xludf.DUMMYFUNCTION("""COMPUTED_VALUE"""),"Ross Sea                    ")</f>
        <v>Ross Sea                    </v>
      </c>
      <c r="C1488" s="29" t="str">
        <f>IFERROR(__xludf.DUMMYFUNCTION("""COMPUTED_VALUE"""),"GAZ:00023304")</f>
        <v>GAZ:00023304</v>
      </c>
      <c r="D1488"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E1488" s="29"/>
      <c r="F1488" s="29"/>
      <c r="G1488" s="29"/>
      <c r="H1488" s="56" t="s">
        <v>19</v>
      </c>
      <c r="I1488" s="56" t="s">
        <v>19</v>
      </c>
      <c r="J1488" s="56" t="s">
        <v>19</v>
      </c>
      <c r="K1488" s="55" t="str">
        <f t="shared" si="77"/>
        <v>MPox</v>
      </c>
      <c r="M1488" s="40"/>
    </row>
    <row r="1489">
      <c r="A1489" s="29"/>
      <c r="B1489" s="53" t="str">
        <f>IFERROR(__xludf.DUMMYFUNCTION("""COMPUTED_VALUE"""),"Russia                    ")</f>
        <v>Russia                    </v>
      </c>
      <c r="C1489" s="29" t="str">
        <f>IFERROR(__xludf.DUMMYFUNCTION("""COMPUTED_VALUE"""),"GAZ:00002721")</f>
        <v>GAZ:00002721</v>
      </c>
      <c r="D1489"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E1489" s="29"/>
      <c r="F1489" s="29"/>
      <c r="G1489" s="29"/>
      <c r="H1489" s="56" t="s">
        <v>19</v>
      </c>
      <c r="I1489" s="56" t="s">
        <v>19</v>
      </c>
      <c r="J1489" s="56" t="s">
        <v>19</v>
      </c>
      <c r="K1489" s="55" t="str">
        <f t="shared" si="77"/>
        <v>MPox</v>
      </c>
      <c r="M1489" s="40"/>
    </row>
    <row r="1490">
      <c r="A1490" s="29"/>
      <c r="B1490" s="53" t="str">
        <f>IFERROR(__xludf.DUMMYFUNCTION("""COMPUTED_VALUE"""),"Rwanda                    ")</f>
        <v>Rwanda                    </v>
      </c>
      <c r="C1490" s="29" t="str">
        <f>IFERROR(__xludf.DUMMYFUNCTION("""COMPUTED_VALUE"""),"GAZ:00001087")</f>
        <v>GAZ:00001087</v>
      </c>
      <c r="D1490"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E1490" s="29"/>
      <c r="F1490" s="29"/>
      <c r="G1490" s="29"/>
      <c r="H1490" s="56" t="s">
        <v>19</v>
      </c>
      <c r="I1490" s="56" t="s">
        <v>19</v>
      </c>
      <c r="J1490" s="56" t="s">
        <v>19</v>
      </c>
      <c r="K1490" s="55" t="str">
        <f t="shared" si="77"/>
        <v>MPox</v>
      </c>
      <c r="M1490" s="40"/>
    </row>
    <row r="1491">
      <c r="A1491" s="29"/>
      <c r="B1491" s="53" t="str">
        <f>IFERROR(__xludf.DUMMYFUNCTION("""COMPUTED_VALUE"""),"Saint Helena                    ")</f>
        <v>Saint Helena                    </v>
      </c>
      <c r="C1491" s="29" t="str">
        <f>IFERROR(__xludf.DUMMYFUNCTION("""COMPUTED_VALUE"""),"GAZ:00000849")</f>
        <v>GAZ:00000849</v>
      </c>
      <c r="D1491" s="29" t="str">
        <f>IFERROR(__xludf.DUMMYFUNCTION("""COMPUTED_VALUE"""),"An island of volcanic origin and a British overseas territory in the South Atlantic Ocean.")</f>
        <v>An island of volcanic origin and a British overseas territory in the South Atlantic Ocean.</v>
      </c>
      <c r="E1491" s="29"/>
      <c r="F1491" s="29"/>
      <c r="G1491" s="29"/>
      <c r="H1491" s="56" t="s">
        <v>19</v>
      </c>
      <c r="I1491" s="56" t="s">
        <v>19</v>
      </c>
      <c r="J1491" s="56" t="s">
        <v>19</v>
      </c>
      <c r="K1491" s="55" t="str">
        <f t="shared" si="77"/>
        <v>MPox</v>
      </c>
      <c r="M1491" s="40"/>
    </row>
    <row r="1492">
      <c r="A1492" s="29"/>
      <c r="B1492" s="53" t="str">
        <f>IFERROR(__xludf.DUMMYFUNCTION("""COMPUTED_VALUE"""),"Saint Kitts and Nevis                    ")</f>
        <v>Saint Kitts and Nevis                    </v>
      </c>
      <c r="C1492" s="29" t="str">
        <f>IFERROR(__xludf.DUMMYFUNCTION("""COMPUTED_VALUE"""),"GAZ:00006906")</f>
        <v>GAZ:00006906</v>
      </c>
      <c r="D1492"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E1492" s="29"/>
      <c r="F1492" s="29"/>
      <c r="G1492" s="29"/>
      <c r="H1492" s="56" t="s">
        <v>19</v>
      </c>
      <c r="I1492" s="56" t="s">
        <v>19</v>
      </c>
      <c r="J1492" s="56" t="s">
        <v>19</v>
      </c>
      <c r="K1492" s="55" t="str">
        <f t="shared" si="77"/>
        <v>MPox</v>
      </c>
      <c r="M1492" s="40"/>
    </row>
    <row r="1493">
      <c r="A1493" s="29"/>
      <c r="B1493" s="53" t="str">
        <f>IFERROR(__xludf.DUMMYFUNCTION("""COMPUTED_VALUE"""),"Saint Lucia                    ")</f>
        <v>Saint Lucia                    </v>
      </c>
      <c r="C1493" s="29" t="str">
        <f>IFERROR(__xludf.DUMMYFUNCTION("""COMPUTED_VALUE"""),"GAZ:00006909")</f>
        <v>GAZ:00006909</v>
      </c>
      <c r="D1493" s="29" t="str">
        <f>IFERROR(__xludf.DUMMYFUNCTION("""COMPUTED_VALUE"""),"An island nation in the eastern Caribbean Sea on the boundary with the Atlantic Ocean.")</f>
        <v>An island nation in the eastern Caribbean Sea on the boundary with the Atlantic Ocean.</v>
      </c>
      <c r="E1493" s="29"/>
      <c r="F1493" s="29"/>
      <c r="G1493" s="29"/>
      <c r="H1493" s="56" t="s">
        <v>19</v>
      </c>
      <c r="I1493" s="56" t="s">
        <v>19</v>
      </c>
      <c r="J1493" s="56" t="s">
        <v>19</v>
      </c>
      <c r="K1493" s="55" t="str">
        <f t="shared" si="77"/>
        <v>MPox</v>
      </c>
      <c r="M1493" s="40"/>
    </row>
    <row r="1494">
      <c r="A1494" s="29"/>
      <c r="B1494" s="53" t="str">
        <f>IFERROR(__xludf.DUMMYFUNCTION("""COMPUTED_VALUE"""),"Saint Pierre and Miquelon                    ")</f>
        <v>Saint Pierre and Miquelon                    </v>
      </c>
      <c r="C1494" s="29" t="str">
        <f>IFERROR(__xludf.DUMMYFUNCTION("""COMPUTED_VALUE"""),"GAZ:00003942")</f>
        <v>GAZ:00003942</v>
      </c>
      <c r="D1494"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E1494" s="29"/>
      <c r="F1494" s="29"/>
      <c r="G1494" s="29"/>
      <c r="H1494" s="56" t="s">
        <v>19</v>
      </c>
      <c r="I1494" s="56" t="s">
        <v>19</v>
      </c>
      <c r="J1494" s="56" t="s">
        <v>19</v>
      </c>
      <c r="K1494" s="55" t="str">
        <f t="shared" si="77"/>
        <v>MPox</v>
      </c>
      <c r="M1494" s="40"/>
    </row>
    <row r="1495">
      <c r="A1495" s="29"/>
      <c r="B1495" s="53" t="str">
        <f>IFERROR(__xludf.DUMMYFUNCTION("""COMPUTED_VALUE"""),"Saint Martin                    ")</f>
        <v>Saint Martin                    </v>
      </c>
      <c r="C1495" s="29" t="str">
        <f>IFERROR(__xludf.DUMMYFUNCTION("""COMPUTED_VALUE"""),"GAZ:00005841")</f>
        <v>GAZ:00005841</v>
      </c>
      <c r="D1495"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E1495" s="29"/>
      <c r="F1495" s="29"/>
      <c r="G1495" s="29"/>
      <c r="H1495" s="56" t="s">
        <v>19</v>
      </c>
      <c r="I1495" s="56" t="s">
        <v>19</v>
      </c>
      <c r="J1495" s="56" t="s">
        <v>19</v>
      </c>
      <c r="K1495" s="55" t="str">
        <f t="shared" si="77"/>
        <v>MPox</v>
      </c>
      <c r="M1495" s="40"/>
    </row>
    <row r="1496">
      <c r="A1496" s="29"/>
      <c r="B1496" s="53" t="str">
        <f>IFERROR(__xludf.DUMMYFUNCTION("""COMPUTED_VALUE"""),"Saint Vincent and the Grenadines                    ")</f>
        <v>Saint Vincent and the Grenadines                    </v>
      </c>
      <c r="C1496" s="29" t="str">
        <f>IFERROR(__xludf.DUMMYFUNCTION("""COMPUTED_VALUE"""),"GAZ:02000565")</f>
        <v>GAZ:02000565</v>
      </c>
      <c r="D1496" s="29" t="str">
        <f>IFERROR(__xludf.DUMMYFUNCTION("""COMPUTED_VALUE"""),"An island nation in the Lesser Antilles chain of the Caribbean Sea.")</f>
        <v>An island nation in the Lesser Antilles chain of the Caribbean Sea.</v>
      </c>
      <c r="E1496" s="29"/>
      <c r="F1496" s="29"/>
      <c r="G1496" s="29"/>
      <c r="H1496" s="56" t="s">
        <v>19</v>
      </c>
      <c r="I1496" s="56" t="s">
        <v>19</v>
      </c>
      <c r="J1496" s="56" t="s">
        <v>19</v>
      </c>
      <c r="K1496" s="55" t="str">
        <f t="shared" si="77"/>
        <v>MPox</v>
      </c>
      <c r="M1496" s="40"/>
    </row>
    <row r="1497">
      <c r="A1497" s="29"/>
      <c r="B1497" s="53" t="str">
        <f>IFERROR(__xludf.DUMMYFUNCTION("""COMPUTED_VALUE"""),"Samoa                    ")</f>
        <v>Samoa                    </v>
      </c>
      <c r="C1497" s="29" t="str">
        <f>IFERROR(__xludf.DUMMYFUNCTION("""COMPUTED_VALUE"""),"GAZ:00006910")</f>
        <v>GAZ:00006910</v>
      </c>
      <c r="D1497"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E1497" s="29"/>
      <c r="F1497" s="29"/>
      <c r="G1497" s="29"/>
      <c r="H1497" s="56" t="s">
        <v>19</v>
      </c>
      <c r="I1497" s="56" t="s">
        <v>19</v>
      </c>
      <c r="J1497" s="56" t="s">
        <v>19</v>
      </c>
      <c r="K1497" s="55" t="str">
        <f t="shared" si="77"/>
        <v>MPox</v>
      </c>
      <c r="M1497" s="40"/>
    </row>
    <row r="1498">
      <c r="A1498" s="29"/>
      <c r="B1498" s="53" t="str">
        <f>IFERROR(__xludf.DUMMYFUNCTION("""COMPUTED_VALUE"""),"San Marino                    ")</f>
        <v>San Marino                    </v>
      </c>
      <c r="C1498" s="29" t="str">
        <f>IFERROR(__xludf.DUMMYFUNCTION("""COMPUTED_VALUE"""),"GAZ:00003102")</f>
        <v>GAZ:00003102</v>
      </c>
      <c r="D1498"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E1498" s="29"/>
      <c r="F1498" s="29"/>
      <c r="G1498" s="29"/>
      <c r="H1498" s="56" t="s">
        <v>19</v>
      </c>
      <c r="I1498" s="56" t="s">
        <v>19</v>
      </c>
      <c r="J1498" s="56" t="s">
        <v>19</v>
      </c>
      <c r="K1498" s="55" t="str">
        <f t="shared" si="77"/>
        <v>MPox</v>
      </c>
      <c r="M1498" s="40"/>
    </row>
    <row r="1499">
      <c r="A1499" s="29"/>
      <c r="B1499" s="53" t="str">
        <f>IFERROR(__xludf.DUMMYFUNCTION("""COMPUTED_VALUE"""),"Sao Tome and Principe                    ")</f>
        <v>Sao Tome and Principe                    </v>
      </c>
      <c r="C1499" s="29" t="str">
        <f>IFERROR(__xludf.DUMMYFUNCTION("""COMPUTED_VALUE"""),"GAZ:00006927")</f>
        <v>GAZ:00006927</v>
      </c>
      <c r="D1499"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E1499" s="29"/>
      <c r="F1499" s="29"/>
      <c r="G1499" s="29"/>
      <c r="H1499" s="56" t="s">
        <v>19</v>
      </c>
      <c r="I1499" s="56" t="s">
        <v>19</v>
      </c>
      <c r="J1499" s="56" t="s">
        <v>19</v>
      </c>
      <c r="K1499" s="55" t="str">
        <f t="shared" si="77"/>
        <v>MPox</v>
      </c>
      <c r="M1499" s="40"/>
    </row>
    <row r="1500">
      <c r="A1500" s="29"/>
      <c r="B1500" s="53" t="str">
        <f>IFERROR(__xludf.DUMMYFUNCTION("""COMPUTED_VALUE"""),"Saudi Arabia                    ")</f>
        <v>Saudi Arabia                    </v>
      </c>
      <c r="C1500" s="29" t="str">
        <f>IFERROR(__xludf.DUMMYFUNCTION("""COMPUTED_VALUE"""),"GAZ:00005279")</f>
        <v>GAZ:00005279</v>
      </c>
      <c r="D1500"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E1500" s="29"/>
      <c r="F1500" s="29"/>
      <c r="G1500" s="29"/>
      <c r="H1500" s="56" t="s">
        <v>19</v>
      </c>
      <c r="I1500" s="56" t="s">
        <v>19</v>
      </c>
      <c r="J1500" s="56" t="s">
        <v>19</v>
      </c>
      <c r="K1500" s="55" t="str">
        <f t="shared" si="77"/>
        <v>MPox</v>
      </c>
      <c r="M1500" s="40"/>
    </row>
    <row r="1501">
      <c r="A1501" s="29"/>
      <c r="B1501" s="53" t="str">
        <f>IFERROR(__xludf.DUMMYFUNCTION("""COMPUTED_VALUE"""),"Senegal                    ")</f>
        <v>Senegal                    </v>
      </c>
      <c r="C1501" s="29" t="str">
        <f>IFERROR(__xludf.DUMMYFUNCTION("""COMPUTED_VALUE"""),"GAZ:00000913")</f>
        <v>GAZ:00000913</v>
      </c>
      <c r="D1501"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E1501" s="29"/>
      <c r="F1501" s="29"/>
      <c r="G1501" s="29"/>
      <c r="H1501" s="56" t="s">
        <v>19</v>
      </c>
      <c r="I1501" s="56" t="s">
        <v>19</v>
      </c>
      <c r="J1501" s="56" t="s">
        <v>19</v>
      </c>
      <c r="K1501" s="55" t="str">
        <f t="shared" si="77"/>
        <v>MPox</v>
      </c>
      <c r="M1501" s="40"/>
    </row>
    <row r="1502">
      <c r="A1502" s="29"/>
      <c r="B1502" s="53" t="str">
        <f>IFERROR(__xludf.DUMMYFUNCTION("""COMPUTED_VALUE"""),"Serbia                    ")</f>
        <v>Serbia                    </v>
      </c>
      <c r="C1502" s="29" t="str">
        <f>IFERROR(__xludf.DUMMYFUNCTION("""COMPUTED_VALUE"""),"GAZ:00002957")</f>
        <v>GAZ:00002957</v>
      </c>
      <c r="D1502"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E1502" s="29"/>
      <c r="F1502" s="29"/>
      <c r="G1502" s="29"/>
      <c r="H1502" s="56" t="s">
        <v>19</v>
      </c>
      <c r="I1502" s="56" t="s">
        <v>19</v>
      </c>
      <c r="J1502" s="56" t="s">
        <v>19</v>
      </c>
      <c r="K1502" s="55" t="str">
        <f t="shared" si="77"/>
        <v>MPox</v>
      </c>
      <c r="M1502" s="40"/>
    </row>
    <row r="1503">
      <c r="A1503" s="29"/>
      <c r="B1503" s="53" t="str">
        <f>IFERROR(__xludf.DUMMYFUNCTION("""COMPUTED_VALUE"""),"Seychelles                    ")</f>
        <v>Seychelles                    </v>
      </c>
      <c r="C1503" s="29" t="str">
        <f>IFERROR(__xludf.DUMMYFUNCTION("""COMPUTED_VALUE"""),"GAZ:00006922")</f>
        <v>GAZ:00006922</v>
      </c>
      <c r="D1503"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E1503" s="29"/>
      <c r="F1503" s="29"/>
      <c r="G1503" s="29"/>
      <c r="H1503" s="56" t="s">
        <v>19</v>
      </c>
      <c r="I1503" s="56" t="s">
        <v>19</v>
      </c>
      <c r="J1503" s="56" t="s">
        <v>19</v>
      </c>
      <c r="K1503" s="55" t="str">
        <f t="shared" si="77"/>
        <v>MPox</v>
      </c>
      <c r="M1503" s="40"/>
    </row>
    <row r="1504">
      <c r="A1504" s="29"/>
      <c r="B1504" s="53" t="str">
        <f>IFERROR(__xludf.DUMMYFUNCTION("""COMPUTED_VALUE"""),"Sierra Leone                    ")</f>
        <v>Sierra Leone                    </v>
      </c>
      <c r="C1504" s="29" t="str">
        <f>IFERROR(__xludf.DUMMYFUNCTION("""COMPUTED_VALUE"""),"GAZ:00000914")</f>
        <v>GAZ:00000914</v>
      </c>
      <c r="D1504"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E1504" s="29"/>
      <c r="F1504" s="29"/>
      <c r="G1504" s="29"/>
      <c r="H1504" s="56" t="s">
        <v>19</v>
      </c>
      <c r="I1504" s="56" t="s">
        <v>19</v>
      </c>
      <c r="J1504" s="56" t="s">
        <v>19</v>
      </c>
      <c r="K1504" s="55" t="str">
        <f t="shared" si="77"/>
        <v>MPox</v>
      </c>
      <c r="M1504" s="40"/>
    </row>
    <row r="1505">
      <c r="A1505" s="29"/>
      <c r="B1505" s="53" t="str">
        <f>IFERROR(__xludf.DUMMYFUNCTION("""COMPUTED_VALUE"""),"Singapore                    ")</f>
        <v>Singapore                    </v>
      </c>
      <c r="C1505" s="29" t="str">
        <f>IFERROR(__xludf.DUMMYFUNCTION("""COMPUTED_VALUE"""),"GAZ:00003923")</f>
        <v>GAZ:00003923</v>
      </c>
      <c r="D1505"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E1505" s="29"/>
      <c r="F1505" s="29"/>
      <c r="G1505" s="29"/>
      <c r="H1505" s="56" t="s">
        <v>19</v>
      </c>
      <c r="I1505" s="56" t="s">
        <v>19</v>
      </c>
      <c r="J1505" s="56" t="s">
        <v>19</v>
      </c>
      <c r="K1505" s="55" t="str">
        <f t="shared" si="77"/>
        <v>MPox</v>
      </c>
      <c r="M1505" s="40"/>
    </row>
    <row r="1506">
      <c r="A1506" s="29"/>
      <c r="B1506" s="53" t="str">
        <f>IFERROR(__xludf.DUMMYFUNCTION("""COMPUTED_VALUE"""),"Sint Maarten                    ")</f>
        <v>Sint Maarten                    </v>
      </c>
      <c r="C1506" s="29" t="str">
        <f>IFERROR(__xludf.DUMMYFUNCTION("""COMPUTED_VALUE"""),"GAZ:00012579")</f>
        <v>GAZ:00012579</v>
      </c>
      <c r="D1506"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E1506" s="29"/>
      <c r="F1506" s="29"/>
      <c r="G1506" s="29"/>
      <c r="H1506" s="56" t="s">
        <v>19</v>
      </c>
      <c r="I1506" s="56" t="s">
        <v>19</v>
      </c>
      <c r="J1506" s="56" t="s">
        <v>19</v>
      </c>
      <c r="K1506" s="55" t="str">
        <f t="shared" si="77"/>
        <v>MPox</v>
      </c>
      <c r="M1506" s="40"/>
    </row>
    <row r="1507">
      <c r="A1507" s="29"/>
      <c r="B1507" s="53" t="str">
        <f>IFERROR(__xludf.DUMMYFUNCTION("""COMPUTED_VALUE"""),"Slovakia                    ")</f>
        <v>Slovakia                    </v>
      </c>
      <c r="C1507" s="29" t="str">
        <f>IFERROR(__xludf.DUMMYFUNCTION("""COMPUTED_VALUE"""),"GAZ:00002956")</f>
        <v>GAZ:00002956</v>
      </c>
      <c r="D1507"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E1507" s="29"/>
      <c r="F1507" s="29"/>
      <c r="G1507" s="29"/>
      <c r="H1507" s="56" t="s">
        <v>19</v>
      </c>
      <c r="I1507" s="56" t="s">
        <v>19</v>
      </c>
      <c r="J1507" s="56" t="s">
        <v>19</v>
      </c>
      <c r="K1507" s="55" t="str">
        <f t="shared" si="77"/>
        <v>MPox</v>
      </c>
      <c r="M1507" s="40"/>
    </row>
    <row r="1508">
      <c r="A1508" s="29"/>
      <c r="B1508" s="53" t="str">
        <f>IFERROR(__xludf.DUMMYFUNCTION("""COMPUTED_VALUE"""),"Slovenia                    ")</f>
        <v>Slovenia                    </v>
      </c>
      <c r="C1508" s="29" t="str">
        <f>IFERROR(__xludf.DUMMYFUNCTION("""COMPUTED_VALUE"""),"GAZ:00002955")</f>
        <v>GAZ:00002955</v>
      </c>
      <c r="D1508"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E1508" s="29"/>
      <c r="F1508" s="29"/>
      <c r="G1508" s="29"/>
      <c r="H1508" s="56" t="s">
        <v>19</v>
      </c>
      <c r="I1508" s="56" t="s">
        <v>19</v>
      </c>
      <c r="J1508" s="56" t="s">
        <v>19</v>
      </c>
      <c r="K1508" s="55" t="str">
        <f t="shared" si="77"/>
        <v>MPox</v>
      </c>
      <c r="M1508" s="40"/>
    </row>
    <row r="1509">
      <c r="A1509" s="29"/>
      <c r="B1509" s="53" t="str">
        <f>IFERROR(__xludf.DUMMYFUNCTION("""COMPUTED_VALUE"""),"Solomon Islands                    ")</f>
        <v>Solomon Islands                    </v>
      </c>
      <c r="C1509" s="29" t="str">
        <f>IFERROR(__xludf.DUMMYFUNCTION("""COMPUTED_VALUE"""),"GAZ:00005275")</f>
        <v>GAZ:00005275</v>
      </c>
      <c r="D1509"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E1509" s="29"/>
      <c r="F1509" s="29"/>
      <c r="G1509" s="29"/>
      <c r="H1509" s="56" t="s">
        <v>19</v>
      </c>
      <c r="I1509" s="56" t="s">
        <v>19</v>
      </c>
      <c r="J1509" s="56" t="s">
        <v>19</v>
      </c>
      <c r="K1509" s="55" t="str">
        <f t="shared" si="77"/>
        <v>MPox</v>
      </c>
      <c r="M1509" s="40"/>
    </row>
    <row r="1510">
      <c r="A1510" s="29"/>
      <c r="B1510" s="53" t="str">
        <f>IFERROR(__xludf.DUMMYFUNCTION("""COMPUTED_VALUE"""),"Somalia                    ")</f>
        <v>Somalia                    </v>
      </c>
      <c r="C1510" s="29" t="str">
        <f>IFERROR(__xludf.DUMMYFUNCTION("""COMPUTED_VALUE"""),"GAZ:00001104")</f>
        <v>GAZ:00001104</v>
      </c>
      <c r="D1510"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E1510" s="29"/>
      <c r="F1510" s="29"/>
      <c r="G1510" s="29"/>
      <c r="H1510" s="56" t="s">
        <v>19</v>
      </c>
      <c r="I1510" s="56" t="s">
        <v>19</v>
      </c>
      <c r="J1510" s="56" t="s">
        <v>19</v>
      </c>
      <c r="K1510" s="55" t="str">
        <f t="shared" si="77"/>
        <v>MPox</v>
      </c>
      <c r="M1510" s="40"/>
    </row>
    <row r="1511">
      <c r="A1511" s="29"/>
      <c r="B1511" s="53" t="str">
        <f>IFERROR(__xludf.DUMMYFUNCTION("""COMPUTED_VALUE"""),"South Africa                    ")</f>
        <v>South Africa                    </v>
      </c>
      <c r="C1511" s="29" t="str">
        <f>IFERROR(__xludf.DUMMYFUNCTION("""COMPUTED_VALUE"""),"GAZ:00001094")</f>
        <v>GAZ:00001094</v>
      </c>
      <c r="D1511"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E1511" s="29"/>
      <c r="F1511" s="29"/>
      <c r="G1511" s="29"/>
      <c r="H1511" s="56" t="s">
        <v>19</v>
      </c>
      <c r="I1511" s="56" t="s">
        <v>19</v>
      </c>
      <c r="J1511" s="56" t="s">
        <v>19</v>
      </c>
      <c r="K1511" s="55" t="str">
        <f t="shared" si="77"/>
        <v>MPox</v>
      </c>
      <c r="M1511" s="40"/>
    </row>
    <row r="1512">
      <c r="A1512" s="29"/>
      <c r="B1512" s="53" t="str">
        <f>IFERROR(__xludf.DUMMYFUNCTION("""COMPUTED_VALUE"""),"South Georgia and the South Sandwich Islands                    ")</f>
        <v>South Georgia and the South Sandwich Islands                    </v>
      </c>
      <c r="C1512" s="29" t="str">
        <f>IFERROR(__xludf.DUMMYFUNCTION("""COMPUTED_VALUE"""),"GAZ:00003990")</f>
        <v>GAZ:00003990</v>
      </c>
      <c r="D1512"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E1512" s="29"/>
      <c r="F1512" s="29"/>
      <c r="G1512" s="29"/>
      <c r="H1512" s="56" t="s">
        <v>19</v>
      </c>
      <c r="I1512" s="56" t="s">
        <v>19</v>
      </c>
      <c r="J1512" s="56" t="s">
        <v>19</v>
      </c>
      <c r="K1512" s="55" t="str">
        <f t="shared" si="77"/>
        <v>MPox</v>
      </c>
      <c r="M1512" s="40"/>
    </row>
    <row r="1513">
      <c r="A1513" s="29"/>
      <c r="B1513" s="53" t="str">
        <f>IFERROR(__xludf.DUMMYFUNCTION("""COMPUTED_VALUE"""),"South Korea                    ")</f>
        <v>South Korea                    </v>
      </c>
      <c r="C1513" s="29" t="str">
        <f>IFERROR(__xludf.DUMMYFUNCTION("""COMPUTED_VALUE"""),"GAZ:00002802")</f>
        <v>GAZ:00002802</v>
      </c>
      <c r="D1513"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E1513" s="29"/>
      <c r="F1513" s="29"/>
      <c r="G1513" s="29"/>
      <c r="H1513" s="56" t="s">
        <v>19</v>
      </c>
      <c r="I1513" s="56" t="s">
        <v>19</v>
      </c>
      <c r="J1513" s="56" t="s">
        <v>19</v>
      </c>
      <c r="K1513" s="55" t="str">
        <f t="shared" si="77"/>
        <v>MPox</v>
      </c>
      <c r="M1513" s="40"/>
    </row>
    <row r="1514">
      <c r="A1514" s="29"/>
      <c r="B1514" s="53" t="str">
        <f>IFERROR(__xludf.DUMMYFUNCTION("""COMPUTED_VALUE"""),"South Sudan                    ")</f>
        <v>South Sudan                    </v>
      </c>
      <c r="C1514" s="29" t="str">
        <f>IFERROR(__xludf.DUMMYFUNCTION("""COMPUTED_VALUE"""),"GAZ:00233439")</f>
        <v>GAZ:00233439</v>
      </c>
      <c r="D1514"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E1514" s="29"/>
      <c r="F1514" s="29"/>
      <c r="G1514" s="29"/>
      <c r="H1514" s="56" t="s">
        <v>19</v>
      </c>
      <c r="I1514" s="56" t="s">
        <v>19</v>
      </c>
      <c r="J1514" s="56" t="s">
        <v>19</v>
      </c>
      <c r="K1514" s="55" t="str">
        <f t="shared" si="77"/>
        <v>MPox</v>
      </c>
      <c r="M1514" s="40"/>
    </row>
    <row r="1515">
      <c r="A1515" s="29"/>
      <c r="B1515" s="53" t="str">
        <f>IFERROR(__xludf.DUMMYFUNCTION("""COMPUTED_VALUE"""),"Spain                    ")</f>
        <v>Spain                    </v>
      </c>
      <c r="C1515" s="29" t="str">
        <f>IFERROR(__xludf.DUMMYFUNCTION("""COMPUTED_VALUE"""),"GAZ:00000591")</f>
        <v>GAZ:00000591</v>
      </c>
      <c r="D1515"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E1515" s="29"/>
      <c r="F1515" s="29"/>
      <c r="G1515" s="29"/>
      <c r="H1515" s="56" t="s">
        <v>19</v>
      </c>
      <c r="I1515" s="56" t="s">
        <v>19</v>
      </c>
      <c r="J1515" s="56" t="s">
        <v>19</v>
      </c>
      <c r="K1515" s="55" t="str">
        <f t="shared" si="77"/>
        <v>MPox</v>
      </c>
      <c r="M1515" s="40"/>
    </row>
    <row r="1516">
      <c r="A1516" s="29"/>
      <c r="B1516" s="53" t="str">
        <f>IFERROR(__xludf.DUMMYFUNCTION("""COMPUTED_VALUE"""),"Spratly Islands                    ")</f>
        <v>Spratly Islands                    </v>
      </c>
      <c r="C1516" s="29" t="str">
        <f>IFERROR(__xludf.DUMMYFUNCTION("""COMPUTED_VALUE"""),"GAZ:00010831")</f>
        <v>GAZ:00010831</v>
      </c>
      <c r="D1516"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E1516" s="29"/>
      <c r="F1516" s="29"/>
      <c r="G1516" s="29"/>
      <c r="H1516" s="56" t="s">
        <v>19</v>
      </c>
      <c r="I1516" s="56" t="s">
        <v>19</v>
      </c>
      <c r="J1516" s="56" t="s">
        <v>19</v>
      </c>
      <c r="K1516" s="55" t="str">
        <f t="shared" si="77"/>
        <v>MPox</v>
      </c>
      <c r="M1516" s="40"/>
    </row>
    <row r="1517">
      <c r="A1517" s="29"/>
      <c r="B1517" s="53" t="str">
        <f>IFERROR(__xludf.DUMMYFUNCTION("""COMPUTED_VALUE"""),"Sri Lanka                    ")</f>
        <v>Sri Lanka                    </v>
      </c>
      <c r="C1517" s="29" t="str">
        <f>IFERROR(__xludf.DUMMYFUNCTION("""COMPUTED_VALUE"""),"GAZ:00003924")</f>
        <v>GAZ:00003924</v>
      </c>
      <c r="D1517"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E1517" s="29"/>
      <c r="F1517" s="29"/>
      <c r="G1517" s="29"/>
      <c r="H1517" s="56" t="s">
        <v>19</v>
      </c>
      <c r="I1517" s="56" t="s">
        <v>19</v>
      </c>
      <c r="J1517" s="56" t="s">
        <v>19</v>
      </c>
      <c r="K1517" s="55" t="str">
        <f t="shared" si="77"/>
        <v>MPox</v>
      </c>
      <c r="M1517" s="40"/>
    </row>
    <row r="1518">
      <c r="A1518" s="29"/>
      <c r="B1518" s="53" t="str">
        <f>IFERROR(__xludf.DUMMYFUNCTION("""COMPUTED_VALUE"""),"State of Palestine                    ")</f>
        <v>State of Palestine                    </v>
      </c>
      <c r="C1518" s="29" t="str">
        <f>IFERROR(__xludf.DUMMYFUNCTION("""COMPUTED_VALUE"""),"GAZ:00002475")</f>
        <v>GAZ:00002475</v>
      </c>
      <c r="D1518"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E1518" s="29"/>
      <c r="F1518" s="29"/>
      <c r="G1518" s="29"/>
      <c r="H1518" s="56" t="s">
        <v>19</v>
      </c>
      <c r="I1518" s="56" t="s">
        <v>19</v>
      </c>
      <c r="J1518" s="56" t="s">
        <v>19</v>
      </c>
      <c r="K1518" s="55" t="str">
        <f t="shared" si="77"/>
        <v>MPox</v>
      </c>
      <c r="M1518" s="40"/>
    </row>
    <row r="1519">
      <c r="A1519" s="29"/>
      <c r="B1519" s="53" t="str">
        <f>IFERROR(__xludf.DUMMYFUNCTION("""COMPUTED_VALUE"""),"Sudan                    ")</f>
        <v>Sudan                    </v>
      </c>
      <c r="C1519" s="29" t="str">
        <f>IFERROR(__xludf.DUMMYFUNCTION("""COMPUTED_VALUE"""),"GAZ:00000560")</f>
        <v>GAZ:00000560</v>
      </c>
      <c r="D1519"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E1519" s="29"/>
      <c r="F1519" s="29"/>
      <c r="G1519" s="29"/>
      <c r="H1519" s="56" t="s">
        <v>19</v>
      </c>
      <c r="I1519" s="56" t="s">
        <v>19</v>
      </c>
      <c r="J1519" s="56" t="s">
        <v>19</v>
      </c>
      <c r="K1519" s="55" t="str">
        <f t="shared" si="77"/>
        <v>MPox</v>
      </c>
      <c r="M1519" s="40"/>
    </row>
    <row r="1520">
      <c r="A1520" s="29"/>
      <c r="B1520" s="53" t="str">
        <f>IFERROR(__xludf.DUMMYFUNCTION("""COMPUTED_VALUE"""),"Suriname                    ")</f>
        <v>Suriname                    </v>
      </c>
      <c r="C1520" s="29" t="str">
        <f>IFERROR(__xludf.DUMMYFUNCTION("""COMPUTED_VALUE"""),"GAZ:00002525")</f>
        <v>GAZ:00002525</v>
      </c>
      <c r="D1520"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E1520" s="29"/>
      <c r="F1520" s="29"/>
      <c r="G1520" s="29"/>
      <c r="H1520" s="56" t="s">
        <v>19</v>
      </c>
      <c r="I1520" s="56" t="s">
        <v>19</v>
      </c>
      <c r="J1520" s="56" t="s">
        <v>19</v>
      </c>
      <c r="K1520" s="55" t="str">
        <f t="shared" si="77"/>
        <v>MPox</v>
      </c>
      <c r="M1520" s="40"/>
    </row>
    <row r="1521">
      <c r="A1521" s="29"/>
      <c r="B1521" s="53" t="str">
        <f>IFERROR(__xludf.DUMMYFUNCTION("""COMPUTED_VALUE"""),"Svalbard                    ")</f>
        <v>Svalbard                    </v>
      </c>
      <c r="C1521" s="29" t="str">
        <f>IFERROR(__xludf.DUMMYFUNCTION("""COMPUTED_VALUE"""),"GAZ:00005396")</f>
        <v>GAZ:00005396</v>
      </c>
      <c r="D1521"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E1521" s="29"/>
      <c r="F1521" s="29"/>
      <c r="G1521" s="29"/>
      <c r="H1521" s="56" t="s">
        <v>19</v>
      </c>
      <c r="I1521" s="56" t="s">
        <v>19</v>
      </c>
      <c r="J1521" s="56" t="s">
        <v>19</v>
      </c>
      <c r="K1521" s="55" t="str">
        <f t="shared" si="77"/>
        <v>MPox</v>
      </c>
      <c r="M1521" s="40"/>
    </row>
    <row r="1522">
      <c r="A1522" s="29"/>
      <c r="B1522" s="53" t="str">
        <f>IFERROR(__xludf.DUMMYFUNCTION("""COMPUTED_VALUE"""),"Swaziland                    ")</f>
        <v>Swaziland                    </v>
      </c>
      <c r="C1522" s="29" t="str">
        <f>IFERROR(__xludf.DUMMYFUNCTION("""COMPUTED_VALUE"""),"GAZ:00001099")</f>
        <v>GAZ:00001099</v>
      </c>
      <c r="D1522"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522" s="29"/>
      <c r="F1522" s="29"/>
      <c r="G1522" s="29"/>
      <c r="H1522" s="56" t="s">
        <v>19</v>
      </c>
      <c r="I1522" s="56" t="s">
        <v>19</v>
      </c>
      <c r="J1522" s="56" t="s">
        <v>19</v>
      </c>
      <c r="K1522" s="55" t="str">
        <f t="shared" si="77"/>
        <v>MPox</v>
      </c>
      <c r="M1522" s="40"/>
    </row>
    <row r="1523">
      <c r="A1523" s="29"/>
      <c r="B1523" s="53" t="str">
        <f>IFERROR(__xludf.DUMMYFUNCTION("""COMPUTED_VALUE"""),"Sweden                    ")</f>
        <v>Sweden                    </v>
      </c>
      <c r="C1523" s="29" t="str">
        <f>IFERROR(__xludf.DUMMYFUNCTION("""COMPUTED_VALUE"""),"GAZ:00002729")</f>
        <v>GAZ:00002729</v>
      </c>
      <c r="D1523"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E1523" s="29"/>
      <c r="F1523" s="29"/>
      <c r="G1523" s="29"/>
      <c r="H1523" s="56" t="s">
        <v>19</v>
      </c>
      <c r="I1523" s="56" t="s">
        <v>19</v>
      </c>
      <c r="J1523" s="56" t="s">
        <v>19</v>
      </c>
      <c r="K1523" s="55" t="str">
        <f t="shared" si="77"/>
        <v>MPox</v>
      </c>
      <c r="M1523" s="40"/>
    </row>
    <row r="1524">
      <c r="A1524" s="29"/>
      <c r="B1524" s="53" t="str">
        <f>IFERROR(__xludf.DUMMYFUNCTION("""COMPUTED_VALUE"""),"Switzerland                    ")</f>
        <v>Switzerland                    </v>
      </c>
      <c r="C1524" s="29" t="str">
        <f>IFERROR(__xludf.DUMMYFUNCTION("""COMPUTED_VALUE"""),"GAZ:00002941")</f>
        <v>GAZ:00002941</v>
      </c>
      <c r="D1524"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E1524" s="29"/>
      <c r="F1524" s="29"/>
      <c r="G1524" s="29"/>
      <c r="H1524" s="56" t="s">
        <v>19</v>
      </c>
      <c r="I1524" s="56" t="s">
        <v>19</v>
      </c>
      <c r="J1524" s="56" t="s">
        <v>19</v>
      </c>
      <c r="K1524" s="55" t="str">
        <f t="shared" si="77"/>
        <v>MPox</v>
      </c>
      <c r="M1524" s="40"/>
    </row>
    <row r="1525">
      <c r="A1525" s="29"/>
      <c r="B1525" s="53" t="str">
        <f>IFERROR(__xludf.DUMMYFUNCTION("""COMPUTED_VALUE"""),"Syria                    ")</f>
        <v>Syria                    </v>
      </c>
      <c r="C1525" s="29" t="str">
        <f>IFERROR(__xludf.DUMMYFUNCTION("""COMPUTED_VALUE"""),"GAZ:00002474")</f>
        <v>GAZ:00002474</v>
      </c>
      <c r="D1525"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E1525" s="29"/>
      <c r="F1525" s="29"/>
      <c r="G1525" s="29"/>
      <c r="H1525" s="56" t="s">
        <v>19</v>
      </c>
      <c r="I1525" s="56" t="s">
        <v>19</v>
      </c>
      <c r="J1525" s="56" t="s">
        <v>19</v>
      </c>
      <c r="K1525" s="55" t="str">
        <f t="shared" si="77"/>
        <v>MPox</v>
      </c>
      <c r="M1525" s="40"/>
    </row>
    <row r="1526">
      <c r="A1526" s="29"/>
      <c r="B1526" s="53" t="str">
        <f>IFERROR(__xludf.DUMMYFUNCTION("""COMPUTED_VALUE"""),"Taiwan                    ")</f>
        <v>Taiwan                    </v>
      </c>
      <c r="C1526" s="29" t="str">
        <f>IFERROR(__xludf.DUMMYFUNCTION("""COMPUTED_VALUE"""),"GAZ:00005341")</f>
        <v>GAZ:00005341</v>
      </c>
      <c r="D1526"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E1526" s="29"/>
      <c r="F1526" s="29"/>
      <c r="G1526" s="29"/>
      <c r="H1526" s="56" t="s">
        <v>19</v>
      </c>
      <c r="I1526" s="56" t="s">
        <v>19</v>
      </c>
      <c r="J1526" s="56" t="s">
        <v>19</v>
      </c>
      <c r="K1526" s="55" t="str">
        <f t="shared" si="77"/>
        <v>MPox</v>
      </c>
      <c r="M1526" s="40"/>
    </row>
    <row r="1527">
      <c r="A1527" s="29"/>
      <c r="B1527" s="53" t="str">
        <f>IFERROR(__xludf.DUMMYFUNCTION("""COMPUTED_VALUE"""),"Tajikistan                    ")</f>
        <v>Tajikistan                    </v>
      </c>
      <c r="C1527" s="29" t="str">
        <f>IFERROR(__xludf.DUMMYFUNCTION("""COMPUTED_VALUE"""),"GAZ:00006912")</f>
        <v>GAZ:00006912</v>
      </c>
      <c r="D1527"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E1527" s="29"/>
      <c r="F1527" s="29"/>
      <c r="G1527" s="29"/>
      <c r="H1527" s="56" t="s">
        <v>19</v>
      </c>
      <c r="I1527" s="56" t="s">
        <v>19</v>
      </c>
      <c r="J1527" s="56" t="s">
        <v>19</v>
      </c>
      <c r="K1527" s="55" t="str">
        <f t="shared" si="77"/>
        <v>MPox</v>
      </c>
      <c r="M1527" s="40"/>
    </row>
    <row r="1528">
      <c r="A1528" s="29"/>
      <c r="B1528" s="53" t="str">
        <f>IFERROR(__xludf.DUMMYFUNCTION("""COMPUTED_VALUE"""),"Tanzania                    ")</f>
        <v>Tanzania                    </v>
      </c>
      <c r="C1528" s="29" t="str">
        <f>IFERROR(__xludf.DUMMYFUNCTION("""COMPUTED_VALUE"""),"GAZ:00001103")</f>
        <v>GAZ:00001103</v>
      </c>
      <c r="D1528"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E1528" s="29"/>
      <c r="F1528" s="29"/>
      <c r="G1528" s="29"/>
      <c r="H1528" s="56" t="s">
        <v>19</v>
      </c>
      <c r="I1528" s="56" t="s">
        <v>19</v>
      </c>
      <c r="J1528" s="56" t="s">
        <v>19</v>
      </c>
      <c r="K1528" s="55" t="str">
        <f t="shared" si="77"/>
        <v>MPox</v>
      </c>
      <c r="M1528" s="40"/>
    </row>
    <row r="1529">
      <c r="A1529" s="29"/>
      <c r="B1529" s="53" t="str">
        <f>IFERROR(__xludf.DUMMYFUNCTION("""COMPUTED_VALUE"""),"Thailand                    ")</f>
        <v>Thailand                    </v>
      </c>
      <c r="C1529" s="29" t="str">
        <f>IFERROR(__xludf.DUMMYFUNCTION("""COMPUTED_VALUE"""),"GAZ:00003744")</f>
        <v>GAZ:00003744</v>
      </c>
      <c r="D1529"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E1529" s="29"/>
      <c r="F1529" s="29"/>
      <c r="G1529" s="29"/>
      <c r="H1529" s="56" t="s">
        <v>19</v>
      </c>
      <c r="I1529" s="56" t="s">
        <v>19</v>
      </c>
      <c r="J1529" s="56" t="s">
        <v>19</v>
      </c>
      <c r="K1529" s="55" t="str">
        <f t="shared" si="77"/>
        <v>MPox</v>
      </c>
      <c r="M1529" s="40"/>
    </row>
    <row r="1530">
      <c r="A1530" s="29"/>
      <c r="B1530" s="53" t="str">
        <f>IFERROR(__xludf.DUMMYFUNCTION("""COMPUTED_VALUE"""),"Timor-Leste                    ")</f>
        <v>Timor-Leste                    </v>
      </c>
      <c r="C1530" s="29" t="str">
        <f>IFERROR(__xludf.DUMMYFUNCTION("""COMPUTED_VALUE"""),"GAZ:00006913")</f>
        <v>GAZ:00006913</v>
      </c>
      <c r="D1530"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E1530" s="29"/>
      <c r="F1530" s="29"/>
      <c r="G1530" s="29"/>
      <c r="H1530" s="56" t="s">
        <v>19</v>
      </c>
      <c r="I1530" s="56" t="s">
        <v>19</v>
      </c>
      <c r="J1530" s="56" t="s">
        <v>19</v>
      </c>
      <c r="K1530" s="55" t="str">
        <f t="shared" si="77"/>
        <v>MPox</v>
      </c>
      <c r="M1530" s="40"/>
    </row>
    <row r="1531">
      <c r="A1531" s="29"/>
      <c r="B1531" s="53" t="str">
        <f>IFERROR(__xludf.DUMMYFUNCTION("""COMPUTED_VALUE"""),"Togo                    ")</f>
        <v>Togo                    </v>
      </c>
      <c r="C1531" s="29" t="str">
        <f>IFERROR(__xludf.DUMMYFUNCTION("""COMPUTED_VALUE"""),"GAZ:00000915")</f>
        <v>GAZ:00000915</v>
      </c>
      <c r="D1531"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E1531" s="29"/>
      <c r="F1531" s="29"/>
      <c r="G1531" s="29"/>
      <c r="H1531" s="56" t="s">
        <v>19</v>
      </c>
      <c r="I1531" s="56" t="s">
        <v>19</v>
      </c>
      <c r="J1531" s="56" t="s">
        <v>19</v>
      </c>
      <c r="K1531" s="55" t="str">
        <f t="shared" si="77"/>
        <v>MPox</v>
      </c>
      <c r="M1531" s="40"/>
    </row>
    <row r="1532">
      <c r="A1532" s="29"/>
      <c r="B1532" s="53" t="str">
        <f>IFERROR(__xludf.DUMMYFUNCTION("""COMPUTED_VALUE"""),"Tokelau                    ")</f>
        <v>Tokelau                    </v>
      </c>
      <c r="C1532" s="29" t="str">
        <f>IFERROR(__xludf.DUMMYFUNCTION("""COMPUTED_VALUE"""),"GAZ:00260188")</f>
        <v>GAZ:00260188</v>
      </c>
      <c r="D1532"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E1532" s="29"/>
      <c r="F1532" s="29"/>
      <c r="G1532" s="29"/>
      <c r="H1532" s="56" t="s">
        <v>19</v>
      </c>
      <c r="I1532" s="56" t="s">
        <v>19</v>
      </c>
      <c r="J1532" s="56" t="s">
        <v>19</v>
      </c>
      <c r="K1532" s="55" t="str">
        <f t="shared" si="77"/>
        <v>MPox</v>
      </c>
      <c r="M1532" s="40"/>
    </row>
    <row r="1533">
      <c r="A1533" s="29"/>
      <c r="B1533" s="53" t="str">
        <f>IFERROR(__xludf.DUMMYFUNCTION("""COMPUTED_VALUE"""),"Tonga                    ")</f>
        <v>Tonga                    </v>
      </c>
      <c r="C1533" s="29" t="str">
        <f>IFERROR(__xludf.DUMMYFUNCTION("""COMPUTED_VALUE"""),"GAZ:00006916")</f>
        <v>GAZ:00006916</v>
      </c>
      <c r="D1533"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E1533" s="29"/>
      <c r="F1533" s="29"/>
      <c r="G1533" s="29"/>
      <c r="H1533" s="56" t="s">
        <v>19</v>
      </c>
      <c r="I1533" s="56" t="s">
        <v>19</v>
      </c>
      <c r="J1533" s="56" t="s">
        <v>19</v>
      </c>
      <c r="K1533" s="55" t="str">
        <f t="shared" si="77"/>
        <v>MPox</v>
      </c>
      <c r="M1533" s="40"/>
    </row>
    <row r="1534">
      <c r="A1534" s="29"/>
      <c r="B1534" s="53" t="str">
        <f>IFERROR(__xludf.DUMMYFUNCTION("""COMPUTED_VALUE"""),"Trinidad and Tobago                    ")</f>
        <v>Trinidad and Tobago                    </v>
      </c>
      <c r="C1534" s="29" t="str">
        <f>IFERROR(__xludf.DUMMYFUNCTION("""COMPUTED_VALUE"""),"GAZ:00003767")</f>
        <v>GAZ:00003767</v>
      </c>
      <c r="D1534"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E1534" s="29"/>
      <c r="F1534" s="29"/>
      <c r="G1534" s="29"/>
      <c r="H1534" s="56" t="s">
        <v>19</v>
      </c>
      <c r="I1534" s="56" t="s">
        <v>19</v>
      </c>
      <c r="J1534" s="56" t="s">
        <v>19</v>
      </c>
      <c r="K1534" s="55" t="str">
        <f t="shared" si="77"/>
        <v>MPox</v>
      </c>
      <c r="M1534" s="40"/>
    </row>
    <row r="1535">
      <c r="A1535" s="29"/>
      <c r="B1535" s="53" t="str">
        <f>IFERROR(__xludf.DUMMYFUNCTION("""COMPUTED_VALUE"""),"Tromelin Island                    ")</f>
        <v>Tromelin Island                    </v>
      </c>
      <c r="C1535" s="29" t="str">
        <f>IFERROR(__xludf.DUMMYFUNCTION("""COMPUTED_VALUE"""),"GAZ:00005812")</f>
        <v>GAZ:00005812</v>
      </c>
      <c r="D1535"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E1535" s="29"/>
      <c r="F1535" s="29"/>
      <c r="G1535" s="29"/>
      <c r="H1535" s="56" t="s">
        <v>19</v>
      </c>
      <c r="I1535" s="56" t="s">
        <v>19</v>
      </c>
      <c r="J1535" s="56" t="s">
        <v>19</v>
      </c>
      <c r="K1535" s="55" t="str">
        <f t="shared" si="77"/>
        <v>MPox</v>
      </c>
      <c r="M1535" s="40"/>
    </row>
    <row r="1536">
      <c r="A1536" s="29"/>
      <c r="B1536" s="53" t="str">
        <f>IFERROR(__xludf.DUMMYFUNCTION("""COMPUTED_VALUE"""),"Tunisia                    ")</f>
        <v>Tunisia                    </v>
      </c>
      <c r="C1536" s="29" t="str">
        <f>IFERROR(__xludf.DUMMYFUNCTION("""COMPUTED_VALUE"""),"GAZ:00000562")</f>
        <v>GAZ:00000562</v>
      </c>
      <c r="D1536"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E1536" s="29"/>
      <c r="F1536" s="29"/>
      <c r="G1536" s="29"/>
      <c r="H1536" s="56" t="s">
        <v>19</v>
      </c>
      <c r="I1536" s="56" t="s">
        <v>19</v>
      </c>
      <c r="J1536" s="56" t="s">
        <v>19</v>
      </c>
      <c r="K1536" s="55" t="str">
        <f t="shared" si="77"/>
        <v>MPox</v>
      </c>
      <c r="M1536" s="40"/>
    </row>
    <row r="1537">
      <c r="A1537" s="29"/>
      <c r="B1537" s="53" t="str">
        <f>IFERROR(__xludf.DUMMYFUNCTION("""COMPUTED_VALUE"""),"Turkey                    ")</f>
        <v>Turkey                    </v>
      </c>
      <c r="C1537" s="29" t="str">
        <f>IFERROR(__xludf.DUMMYFUNCTION("""COMPUTED_VALUE"""),"GAZ:00000558")</f>
        <v>GAZ:00000558</v>
      </c>
      <c r="D1537"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E1537" s="29"/>
      <c r="F1537" s="29"/>
      <c r="G1537" s="29"/>
      <c r="H1537" s="56" t="s">
        <v>19</v>
      </c>
      <c r="I1537" s="56" t="s">
        <v>19</v>
      </c>
      <c r="J1537" s="56" t="s">
        <v>19</v>
      </c>
      <c r="K1537" s="55" t="str">
        <f t="shared" si="77"/>
        <v>MPox</v>
      </c>
      <c r="M1537" s="40"/>
    </row>
    <row r="1538">
      <c r="A1538" s="29"/>
      <c r="B1538" s="53" t="str">
        <f>IFERROR(__xludf.DUMMYFUNCTION("""COMPUTED_VALUE"""),"Turkmenistan                    ")</f>
        <v>Turkmenistan                    </v>
      </c>
      <c r="C1538" s="29" t="str">
        <f>IFERROR(__xludf.DUMMYFUNCTION("""COMPUTED_VALUE"""),"GAZ:00005018")</f>
        <v>GAZ:00005018</v>
      </c>
      <c r="D1538"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E1538" s="29"/>
      <c r="F1538" s="29"/>
      <c r="G1538" s="29"/>
      <c r="H1538" s="56" t="s">
        <v>19</v>
      </c>
      <c r="I1538" s="56" t="s">
        <v>19</v>
      </c>
      <c r="J1538" s="56" t="s">
        <v>19</v>
      </c>
      <c r="K1538" s="55" t="str">
        <f t="shared" si="77"/>
        <v>MPox</v>
      </c>
      <c r="M1538" s="40"/>
    </row>
    <row r="1539">
      <c r="A1539" s="29"/>
      <c r="B1539" s="53" t="str">
        <f>IFERROR(__xludf.DUMMYFUNCTION("""COMPUTED_VALUE"""),"Turks and Caicos Islands                    ")</f>
        <v>Turks and Caicos Islands                    </v>
      </c>
      <c r="C1539" s="29" t="str">
        <f>IFERROR(__xludf.DUMMYFUNCTION("""COMPUTED_VALUE"""),"GAZ:00003955")</f>
        <v>GAZ:00003955</v>
      </c>
      <c r="D1539"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E1539" s="29"/>
      <c r="F1539" s="29"/>
      <c r="G1539" s="29"/>
      <c r="H1539" s="56" t="s">
        <v>19</v>
      </c>
      <c r="I1539" s="56" t="s">
        <v>19</v>
      </c>
      <c r="J1539" s="56" t="s">
        <v>19</v>
      </c>
      <c r="K1539" s="55" t="str">
        <f t="shared" si="77"/>
        <v>MPox</v>
      </c>
      <c r="M1539" s="40"/>
    </row>
    <row r="1540">
      <c r="A1540" s="29"/>
      <c r="B1540" s="53" t="str">
        <f>IFERROR(__xludf.DUMMYFUNCTION("""COMPUTED_VALUE"""),"Tuvalu                    ")</f>
        <v>Tuvalu                    </v>
      </c>
      <c r="C1540" s="29" t="str">
        <f>IFERROR(__xludf.DUMMYFUNCTION("""COMPUTED_VALUE"""),"GAZ:00009715")</f>
        <v>GAZ:00009715</v>
      </c>
      <c r="D1540" s="29" t="str">
        <f>IFERROR(__xludf.DUMMYFUNCTION("""COMPUTED_VALUE"""),"A Polynesian island nation located in the Pacific Ocean midway between Hawaii and Australia.")</f>
        <v>A Polynesian island nation located in the Pacific Ocean midway between Hawaii and Australia.</v>
      </c>
      <c r="E1540" s="29"/>
      <c r="F1540" s="29"/>
      <c r="G1540" s="29"/>
      <c r="H1540" s="56" t="s">
        <v>19</v>
      </c>
      <c r="I1540" s="56" t="s">
        <v>19</v>
      </c>
      <c r="J1540" s="56" t="s">
        <v>19</v>
      </c>
      <c r="K1540" s="55" t="str">
        <f t="shared" si="77"/>
        <v>MPox</v>
      </c>
      <c r="M1540" s="40"/>
    </row>
    <row r="1541">
      <c r="A1541" s="29"/>
      <c r="B1541" s="53" t="str">
        <f>IFERROR(__xludf.DUMMYFUNCTION("""COMPUTED_VALUE"""),"United States of America                    ")</f>
        <v>United States of America                    </v>
      </c>
      <c r="C1541" s="29" t="str">
        <f>IFERROR(__xludf.DUMMYFUNCTION("""COMPUTED_VALUE"""),"GAZ:00002459")</f>
        <v>GAZ:00002459</v>
      </c>
      <c r="D1541"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E1541" s="29"/>
      <c r="F1541" s="29"/>
      <c r="G1541" s="29"/>
      <c r="H1541" s="56" t="s">
        <v>19</v>
      </c>
      <c r="I1541" s="56" t="s">
        <v>19</v>
      </c>
      <c r="J1541" s="56" t="s">
        <v>19</v>
      </c>
      <c r="K1541" s="55" t="str">
        <f t="shared" si="77"/>
        <v>MPox</v>
      </c>
      <c r="M1541" s="40"/>
    </row>
    <row r="1542">
      <c r="A1542" s="29"/>
      <c r="B1542" s="53" t="str">
        <f>IFERROR(__xludf.DUMMYFUNCTION("""COMPUTED_VALUE"""),"Uganda                    ")</f>
        <v>Uganda                    </v>
      </c>
      <c r="C1542" s="29" t="str">
        <f>IFERROR(__xludf.DUMMYFUNCTION("""COMPUTED_VALUE"""),"GAZ:00001102")</f>
        <v>GAZ:00001102</v>
      </c>
      <c r="D1542"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E1542" s="29"/>
      <c r="F1542" s="29"/>
      <c r="G1542" s="29"/>
      <c r="H1542" s="56" t="s">
        <v>19</v>
      </c>
      <c r="I1542" s="56" t="s">
        <v>19</v>
      </c>
      <c r="J1542" s="56" t="s">
        <v>19</v>
      </c>
      <c r="K1542" s="55" t="str">
        <f t="shared" si="77"/>
        <v>MPox</v>
      </c>
      <c r="M1542" s="40"/>
    </row>
    <row r="1543">
      <c r="A1543" s="29"/>
      <c r="B1543" s="53" t="str">
        <f>IFERROR(__xludf.DUMMYFUNCTION("""COMPUTED_VALUE"""),"Ukraine                    ")</f>
        <v>Ukraine                    </v>
      </c>
      <c r="C1543" s="29" t="str">
        <f>IFERROR(__xludf.DUMMYFUNCTION("""COMPUTED_VALUE"""),"GAZ:00002724")</f>
        <v>GAZ:00002724</v>
      </c>
      <c r="D1543"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E1543" s="29"/>
      <c r="F1543" s="29"/>
      <c r="G1543" s="29"/>
      <c r="H1543" s="56" t="s">
        <v>19</v>
      </c>
      <c r="I1543" s="56" t="s">
        <v>19</v>
      </c>
      <c r="J1543" s="56" t="s">
        <v>19</v>
      </c>
      <c r="K1543" s="55" t="str">
        <f t="shared" si="77"/>
        <v>MPox</v>
      </c>
      <c r="M1543" s="40"/>
    </row>
    <row r="1544">
      <c r="A1544" s="29"/>
      <c r="B1544" s="53" t="str">
        <f>IFERROR(__xludf.DUMMYFUNCTION("""COMPUTED_VALUE"""),"United Arab Emirates                    ")</f>
        <v>United Arab Emirates                    </v>
      </c>
      <c r="C1544" s="29" t="str">
        <f>IFERROR(__xludf.DUMMYFUNCTION("""COMPUTED_VALUE"""),"GAZ:00005282")</f>
        <v>GAZ:00005282</v>
      </c>
      <c r="D1544"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E1544" s="29"/>
      <c r="F1544" s="29"/>
      <c r="G1544" s="29"/>
      <c r="H1544" s="56" t="s">
        <v>19</v>
      </c>
      <c r="I1544" s="56" t="s">
        <v>19</v>
      </c>
      <c r="J1544" s="56" t="s">
        <v>19</v>
      </c>
      <c r="K1544" s="55" t="str">
        <f t="shared" si="77"/>
        <v>MPox</v>
      </c>
      <c r="M1544" s="40"/>
    </row>
    <row r="1545">
      <c r="A1545" s="29"/>
      <c r="B1545" s="53" t="str">
        <f>IFERROR(__xludf.DUMMYFUNCTION("""COMPUTED_VALUE"""),"United Kingdom                    ")</f>
        <v>United Kingdom                    </v>
      </c>
      <c r="C1545" s="29" t="str">
        <f>IFERROR(__xludf.DUMMYFUNCTION("""COMPUTED_VALUE"""),"GAZ:00002637")</f>
        <v>GAZ:00002637</v>
      </c>
      <c r="D1545"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E1545" s="29"/>
      <c r="F1545" s="29"/>
      <c r="G1545" s="29"/>
      <c r="H1545" s="56" t="s">
        <v>19</v>
      </c>
      <c r="I1545" s="56" t="s">
        <v>19</v>
      </c>
      <c r="J1545" s="56" t="s">
        <v>19</v>
      </c>
      <c r="K1545" s="55" t="str">
        <f t="shared" si="77"/>
        <v>MPox</v>
      </c>
      <c r="M1545" s="40"/>
    </row>
    <row r="1546">
      <c r="A1546" s="29"/>
      <c r="B1546" s="53" t="str">
        <f>IFERROR(__xludf.DUMMYFUNCTION("""COMPUTED_VALUE"""),"Uruguay                    ")</f>
        <v>Uruguay                    </v>
      </c>
      <c r="C1546" s="29" t="str">
        <f>IFERROR(__xludf.DUMMYFUNCTION("""COMPUTED_VALUE"""),"GAZ:00002930")</f>
        <v>GAZ:00002930</v>
      </c>
      <c r="D1546"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E1546" s="29"/>
      <c r="F1546" s="29"/>
      <c r="G1546" s="29"/>
      <c r="H1546" s="56" t="s">
        <v>19</v>
      </c>
      <c r="I1546" s="56" t="s">
        <v>19</v>
      </c>
      <c r="J1546" s="56" t="s">
        <v>19</v>
      </c>
      <c r="K1546" s="55" t="str">
        <f t="shared" si="77"/>
        <v>MPox</v>
      </c>
      <c r="M1546" s="40"/>
    </row>
    <row r="1547">
      <c r="A1547" s="29"/>
      <c r="B1547" s="53" t="str">
        <f>IFERROR(__xludf.DUMMYFUNCTION("""COMPUTED_VALUE"""),"Uzbekistan                    ")</f>
        <v>Uzbekistan                    </v>
      </c>
      <c r="C1547" s="29" t="str">
        <f>IFERROR(__xludf.DUMMYFUNCTION("""COMPUTED_VALUE"""),"GAZ:00004979")</f>
        <v>GAZ:00004979</v>
      </c>
      <c r="D1547"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E1547" s="29"/>
      <c r="F1547" s="29"/>
      <c r="G1547" s="29"/>
      <c r="H1547" s="56" t="s">
        <v>19</v>
      </c>
      <c r="I1547" s="56" t="s">
        <v>19</v>
      </c>
      <c r="J1547" s="56" t="s">
        <v>19</v>
      </c>
      <c r="K1547" s="55" t="str">
        <f t="shared" si="77"/>
        <v>MPox</v>
      </c>
      <c r="M1547" s="40"/>
    </row>
    <row r="1548">
      <c r="A1548" s="29"/>
      <c r="B1548" s="53" t="str">
        <f>IFERROR(__xludf.DUMMYFUNCTION("""COMPUTED_VALUE"""),"Vanuatu                    ")</f>
        <v>Vanuatu                    </v>
      </c>
      <c r="C1548" s="29" t="str">
        <f>IFERROR(__xludf.DUMMYFUNCTION("""COMPUTED_VALUE"""),"GAZ:00006918")</f>
        <v>GAZ:00006918</v>
      </c>
      <c r="D1548"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E1548" s="29"/>
      <c r="F1548" s="29"/>
      <c r="G1548" s="29"/>
      <c r="H1548" s="56" t="s">
        <v>19</v>
      </c>
      <c r="I1548" s="56" t="s">
        <v>19</v>
      </c>
      <c r="J1548" s="56" t="s">
        <v>19</v>
      </c>
      <c r="K1548" s="55" t="str">
        <f t="shared" si="77"/>
        <v>MPox</v>
      </c>
      <c r="M1548" s="40"/>
    </row>
    <row r="1549">
      <c r="A1549" s="29"/>
      <c r="B1549" s="53" t="str">
        <f>IFERROR(__xludf.DUMMYFUNCTION("""COMPUTED_VALUE"""),"Venezuela                    ")</f>
        <v>Venezuela                    </v>
      </c>
      <c r="C1549" s="29" t="str">
        <f>IFERROR(__xludf.DUMMYFUNCTION("""COMPUTED_VALUE"""),"GAZ:00002931")</f>
        <v>GAZ:00002931</v>
      </c>
      <c r="D1549"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E1549" s="29"/>
      <c r="F1549" s="29"/>
      <c r="G1549" s="29"/>
      <c r="H1549" s="56" t="s">
        <v>19</v>
      </c>
      <c r="I1549" s="56" t="s">
        <v>19</v>
      </c>
      <c r="J1549" s="56" t="s">
        <v>19</v>
      </c>
      <c r="K1549" s="55" t="str">
        <f t="shared" si="77"/>
        <v>MPox</v>
      </c>
      <c r="M1549" s="40"/>
    </row>
    <row r="1550">
      <c r="A1550" s="29"/>
      <c r="B1550" s="53" t="str">
        <f>IFERROR(__xludf.DUMMYFUNCTION("""COMPUTED_VALUE"""),"Viet Nam                    ")</f>
        <v>Viet Nam                    </v>
      </c>
      <c r="C1550" s="29" t="str">
        <f>IFERROR(__xludf.DUMMYFUNCTION("""COMPUTED_VALUE"""),"GAZ:00003756")</f>
        <v>GAZ:00003756</v>
      </c>
      <c r="D1550"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E1550" s="29"/>
      <c r="F1550" s="29"/>
      <c r="G1550" s="29"/>
      <c r="H1550" s="56" t="s">
        <v>19</v>
      </c>
      <c r="I1550" s="56" t="s">
        <v>19</v>
      </c>
      <c r="J1550" s="56" t="s">
        <v>19</v>
      </c>
      <c r="K1550" s="55" t="str">
        <f t="shared" si="77"/>
        <v>MPox</v>
      </c>
      <c r="M1550" s="40"/>
    </row>
    <row r="1551">
      <c r="A1551" s="29"/>
      <c r="B1551" s="53" t="str">
        <f>IFERROR(__xludf.DUMMYFUNCTION("""COMPUTED_VALUE"""),"Virgin Islands                    ")</f>
        <v>Virgin Islands                    </v>
      </c>
      <c r="C1551" s="29" t="str">
        <f>IFERROR(__xludf.DUMMYFUNCTION("""COMPUTED_VALUE"""),"GAZ:00003959")</f>
        <v>GAZ:00003959</v>
      </c>
      <c r="D1551"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E1551" s="29"/>
      <c r="F1551" s="29"/>
      <c r="G1551" s="29"/>
      <c r="H1551" s="56" t="s">
        <v>19</v>
      </c>
      <c r="I1551" s="56" t="s">
        <v>19</v>
      </c>
      <c r="J1551" s="56" t="s">
        <v>19</v>
      </c>
      <c r="K1551" s="55" t="str">
        <f t="shared" si="77"/>
        <v>MPox</v>
      </c>
      <c r="M1551" s="40"/>
    </row>
    <row r="1552">
      <c r="A1552" s="29"/>
      <c r="B1552" s="53" t="str">
        <f>IFERROR(__xludf.DUMMYFUNCTION("""COMPUTED_VALUE"""),"Wake Island                    ")</f>
        <v>Wake Island                    </v>
      </c>
      <c r="C1552" s="29" t="str">
        <f>IFERROR(__xludf.DUMMYFUNCTION("""COMPUTED_VALUE"""),"GAZ:00007111")</f>
        <v>GAZ:00007111</v>
      </c>
      <c r="D1552"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E1552" s="29"/>
      <c r="F1552" s="29"/>
      <c r="G1552" s="29"/>
      <c r="H1552" s="56"/>
      <c r="I1552" s="56"/>
      <c r="J1552" s="56"/>
      <c r="K1552" s="55" t="str">
        <f t="shared" si="77"/>
        <v>MPox</v>
      </c>
      <c r="M1552" s="40"/>
    </row>
    <row r="1553">
      <c r="A1553" s="29"/>
      <c r="B1553" s="53" t="str">
        <f>IFERROR(__xludf.DUMMYFUNCTION("""COMPUTED_VALUE"""),"Wallis and Futuna                    ")</f>
        <v>Wallis and Futuna                    </v>
      </c>
      <c r="C1553" s="29" t="str">
        <f>IFERROR(__xludf.DUMMYFUNCTION("""COMPUTED_VALUE"""),"GAZ:00007191")</f>
        <v>GAZ:00007191</v>
      </c>
      <c r="D1553"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E1553" s="29"/>
      <c r="F1553" s="29"/>
      <c r="G1553" s="29"/>
      <c r="H1553" s="56" t="s">
        <v>19</v>
      </c>
      <c r="I1553" s="56" t="s">
        <v>19</v>
      </c>
      <c r="J1553" s="56" t="s">
        <v>19</v>
      </c>
      <c r="K1553" s="55" t="str">
        <f t="shared" si="77"/>
        <v>MPox</v>
      </c>
      <c r="M1553" s="40"/>
    </row>
    <row r="1554">
      <c r="A1554" s="29"/>
      <c r="B1554" s="53" t="str">
        <f>IFERROR(__xludf.DUMMYFUNCTION("""COMPUTED_VALUE"""),"West Bank                    ")</f>
        <v>West Bank                    </v>
      </c>
      <c r="C1554" s="29" t="str">
        <f>IFERROR(__xludf.DUMMYFUNCTION("""COMPUTED_VALUE"""),"GAZ:00009572")</f>
        <v>GAZ:00009572</v>
      </c>
      <c r="D1554"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E1554" s="29"/>
      <c r="F1554" s="29"/>
      <c r="G1554" s="29"/>
      <c r="H1554" s="56" t="s">
        <v>19</v>
      </c>
      <c r="I1554" s="56" t="s">
        <v>19</v>
      </c>
      <c r="J1554" s="56" t="s">
        <v>19</v>
      </c>
      <c r="K1554" s="55" t="str">
        <f t="shared" si="77"/>
        <v>MPox</v>
      </c>
      <c r="M1554" s="40"/>
    </row>
    <row r="1555">
      <c r="A1555" s="29"/>
      <c r="B1555" s="53" t="str">
        <f>IFERROR(__xludf.DUMMYFUNCTION("""COMPUTED_VALUE"""),"Western Sahara                    ")</f>
        <v>Western Sahara                    </v>
      </c>
      <c r="C1555" s="29" t="str">
        <f>IFERROR(__xludf.DUMMYFUNCTION("""COMPUTED_VALUE"""),"GAZ:00000564")</f>
        <v>GAZ:00000564</v>
      </c>
      <c r="D1555"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E1555" s="29"/>
      <c r="F1555" s="29"/>
      <c r="G1555" s="29"/>
      <c r="H1555" s="56" t="s">
        <v>19</v>
      </c>
      <c r="I1555" s="56" t="s">
        <v>19</v>
      </c>
      <c r="J1555" s="56" t="s">
        <v>19</v>
      </c>
      <c r="K1555" s="55" t="str">
        <f t="shared" si="77"/>
        <v>MPox</v>
      </c>
      <c r="M1555" s="40"/>
    </row>
    <row r="1556">
      <c r="A1556" s="29"/>
      <c r="B1556" s="53" t="str">
        <f>IFERROR(__xludf.DUMMYFUNCTION("""COMPUTED_VALUE"""),"Yemen                    ")</f>
        <v>Yemen                    </v>
      </c>
      <c r="C1556" s="29" t="str">
        <f>IFERROR(__xludf.DUMMYFUNCTION("""COMPUTED_VALUE"""),"GAZ:00005284")</f>
        <v>GAZ:00005284</v>
      </c>
      <c r="D1556"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E1556" s="29"/>
      <c r="F1556" s="29"/>
      <c r="G1556" s="29"/>
      <c r="H1556" s="56" t="s">
        <v>19</v>
      </c>
      <c r="I1556" s="56" t="s">
        <v>19</v>
      </c>
      <c r="J1556" s="56" t="s">
        <v>19</v>
      </c>
      <c r="K1556" s="55" t="str">
        <f t="shared" si="77"/>
        <v>MPox</v>
      </c>
      <c r="M1556" s="40"/>
    </row>
    <row r="1557">
      <c r="A1557" s="29"/>
      <c r="B1557" s="53" t="str">
        <f>IFERROR(__xludf.DUMMYFUNCTION("""COMPUTED_VALUE"""),"Zambia                    ")</f>
        <v>Zambia                    </v>
      </c>
      <c r="C1557" s="29" t="str">
        <f>IFERROR(__xludf.DUMMYFUNCTION("""COMPUTED_VALUE"""),"GAZ:00001107")</f>
        <v>GAZ:00001107</v>
      </c>
      <c r="D1557"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E1557" s="29"/>
      <c r="F1557" s="29"/>
      <c r="G1557" s="29"/>
      <c r="H1557" s="56" t="s">
        <v>19</v>
      </c>
      <c r="I1557" s="56" t="s">
        <v>19</v>
      </c>
      <c r="J1557" s="56" t="s">
        <v>19</v>
      </c>
      <c r="K1557" s="55" t="str">
        <f t="shared" si="77"/>
        <v>MPox</v>
      </c>
      <c r="M1557" s="40"/>
    </row>
    <row r="1558">
      <c r="A1558" s="29"/>
      <c r="B1558" s="53" t="str">
        <f>IFERROR(__xludf.DUMMYFUNCTION("""COMPUTED_VALUE"""),"Zimbabwe                    ")</f>
        <v>Zimbabwe                    </v>
      </c>
      <c r="C1558" s="29" t="str">
        <f>IFERROR(__xludf.DUMMYFUNCTION("""COMPUTED_VALUE"""),"GAZ:00001106")</f>
        <v>GAZ:00001106</v>
      </c>
      <c r="D1558"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E1558" s="29"/>
      <c r="F1558" s="29"/>
      <c r="G1558" s="29"/>
      <c r="H1558" s="56" t="s">
        <v>19</v>
      </c>
      <c r="I1558" s="56" t="s">
        <v>19</v>
      </c>
      <c r="J1558" s="56" t="s">
        <v>19</v>
      </c>
      <c r="K1558" s="55" t="str">
        <f t="shared" si="77"/>
        <v>MPox</v>
      </c>
      <c r="M1558" s="40"/>
    </row>
    <row r="1559" hidden="1">
      <c r="A1559" s="29" t="str">
        <f>IFERROR(__xludf.DUMMYFUNCTION("""COMPUTED_VALUE"""),"geo_loc_name (country) international menu")</f>
        <v>geo_loc_name (country) international menu</v>
      </c>
      <c r="B1559" s="53" t="str">
        <f>IFERROR(__xludf.DUMMYFUNCTION("""COMPUTED_VALUE"""),"                    ")</f>
        <v>                    </v>
      </c>
      <c r="C1559" s="29"/>
      <c r="D1559" s="29" t="str">
        <f>IFERROR(__xludf.DUMMYFUNCTION("""COMPUTED_VALUE"""),"")</f>
        <v/>
      </c>
      <c r="E1559" s="29"/>
      <c r="F1559" s="29"/>
      <c r="G1559" s="29"/>
      <c r="H1559" s="56"/>
      <c r="I1559" s="56"/>
      <c r="J1559" s="56"/>
      <c r="K1559" s="55" t="s">
        <v>27</v>
      </c>
      <c r="L1559" s="34" t="str">
        <f>LEFT(A1559, LEN(A1559) - 5)
</f>
        <v>geo_loc_name (country) international</v>
      </c>
      <c r="M1559" s="34" t="str">
        <f>VLOOKUP(L1559,'Field Reference Guide'!$B$6:$N$220,13,false)</f>
        <v>#N/A</v>
      </c>
    </row>
    <row r="1560" hidden="1">
      <c r="A1560" s="29"/>
      <c r="B1560" s="53" t="str">
        <f>IFERROR(__xludf.DUMMYFUNCTION("""COMPUTED_VALUE"""),"Afghanistan [GAZ:00006882]                    ")</f>
        <v>Afghanistan [GAZ:00006882]                    </v>
      </c>
      <c r="C1560" s="29" t="str">
        <f>IFERROR(__xludf.DUMMYFUNCTION("""COMPUTED_VALUE"""),"GAZ:00006882")</f>
        <v>GAZ:00006882</v>
      </c>
      <c r="D1560" s="29" t="str">
        <f>IFERROR(__xludf.DUMMYFUNCTION("""COMPUTED_VALUE"""),"A landlocked country that is located approximately in the center of Asia. It is bordered by Pakistan in the south and east Iran in the west, Turkmenistan, Uzbekistan and Tajikistan in the north, and China in the far northeast. Afghanistan is administrativ"&amp;"ely divided into thirty-four (34) provinces (welayats). Each province is then divided into many provincial districts, and each district normally covers a city or several townships. [ url:http://en.wikipedia.org/wiki/Afghanistan ]")</f>
        <v>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v>
      </c>
      <c r="E1560" s="29"/>
      <c r="F1560" s="29"/>
      <c r="G1560" s="29"/>
      <c r="H1560" s="56" t="s">
        <v>19</v>
      </c>
      <c r="I1560" s="56" t="s">
        <v>19</v>
      </c>
      <c r="J1560" s="56" t="s">
        <v>19</v>
      </c>
      <c r="K1560" s="55" t="str">
        <f t="shared" ref="K1560:K1727" si="78">K1559</f>
        <v>International</v>
      </c>
      <c r="M1560" s="57" t="s">
        <v>28</v>
      </c>
    </row>
    <row r="1561" hidden="1">
      <c r="A1561" s="29"/>
      <c r="B1561" s="53" t="str">
        <f>IFERROR(__xludf.DUMMYFUNCTION("""COMPUTED_VALUE"""),"Albania [GAZ:00002953]                    ")</f>
        <v>Albania [GAZ:00002953]                    </v>
      </c>
      <c r="C1561" s="29" t="str">
        <f>IFERROR(__xludf.DUMMYFUNCTION("""COMPUTED_VALUE"""),"GAZ:00002953")</f>
        <v>GAZ:00002953</v>
      </c>
      <c r="D1561" s="29" t="str">
        <f>IFERROR(__xludf.DUMMYFUNCTION("""COMPUTED_VALUE"""),"A country in South Eastern Europe. Albania is bordered by Greece to the south-east, Montenegro to the north, Kosovo to the northeast, and the Republic of Macedonia to the east. It has a coast on the Adriatic Sea to the west, and on the Ionian Sea to the s"&amp;"outhwest. From the Strait of Otranto, Albania is less than 100 km from Italy. Albania is divided into 12 administrative divisions called (Albanian: official qark/qarku, but often prefekture/prefektura Counties), 36 districts (Rrethe) and 351 municipalitie"&amp;"s (Bashkia) and communes (Komuna). [ url:http://en.wikipedia.org/wiki/Albania ]")</f>
        <v>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v>
      </c>
      <c r="E1561" s="29"/>
      <c r="F1561" s="29"/>
      <c r="G1561" s="29"/>
      <c r="H1561" s="56" t="s">
        <v>19</v>
      </c>
      <c r="I1561" s="56" t="s">
        <v>19</v>
      </c>
      <c r="J1561" s="56" t="s">
        <v>19</v>
      </c>
      <c r="K1561" s="55" t="str">
        <f t="shared" si="78"/>
        <v>International</v>
      </c>
    </row>
    <row r="1562" hidden="1">
      <c r="A1562" s="29"/>
      <c r="B1562" s="53" t="str">
        <f>IFERROR(__xludf.DUMMYFUNCTION("""COMPUTED_VALUE"""),"Algeria [GAZ:00000563]                    ")</f>
        <v>Algeria [GAZ:00000563]                    </v>
      </c>
      <c r="C1562" s="29" t="str">
        <f>IFERROR(__xludf.DUMMYFUNCTION("""COMPUTED_VALUE"""),"GAZ:00000563")</f>
        <v>GAZ:00000563</v>
      </c>
      <c r="D1562" s="29" t="str">
        <f>IFERROR(__xludf.DUMMYFUNCTION("""COMPUTED_VALUE"""),"A country in North Africa. It is bordered by Tunisia in the northeast, Libya in the east, Niger in the southeast, Mali and Mauritania in the southwest, a few km of the Western Sahara in the west, Morocco in the northwest, and the Mediterranean Sea in the "&amp;"north. It divided into 48 provinces (wilayas), 553 districts (dairas) and 1,541 municipalities (communes, baladiyahs). [ url:http://en.wikipedia.org/wiki/Algeria ]")</f>
        <v>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v>
      </c>
      <c r="E1562" s="29"/>
      <c r="F1562" s="29"/>
      <c r="G1562" s="29"/>
      <c r="H1562" s="56" t="s">
        <v>19</v>
      </c>
      <c r="I1562" s="56" t="s">
        <v>19</v>
      </c>
      <c r="J1562" s="56" t="s">
        <v>19</v>
      </c>
      <c r="K1562" s="55" t="str">
        <f t="shared" si="78"/>
        <v>International</v>
      </c>
    </row>
    <row r="1563" hidden="1">
      <c r="A1563" s="29"/>
      <c r="B1563" s="53" t="str">
        <f>IFERROR(__xludf.DUMMYFUNCTION("""COMPUTED_VALUE"""),"American Samoa [GAZ:00003957]                    ")</f>
        <v>American Samoa [GAZ:00003957]                    </v>
      </c>
      <c r="C1563" s="29" t="str">
        <f>IFERROR(__xludf.DUMMYFUNCTION("""COMPUTED_VALUE"""),"GAZ:00003957")</f>
        <v>GAZ:00003957</v>
      </c>
      <c r="D1563" s="29" t="str">
        <f>IFERROR(__xludf.DUMMYFUNCTION("""COMPUTED_VALUE"""),"An unincorporated territory of the United States located in the South Pacific Ocean, southeast of the sovereign State of Samoa. The main (largest and most populous) island is Tutuila, with the Manu'a Islands, Rose Atoll, and Swains Island also included in"&amp;" the territory. [ url:http://en.wikipedia.org/wiki/American_Samoa ]")</f>
        <v>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v>
      </c>
      <c r="E1563" s="29"/>
      <c r="F1563" s="29"/>
      <c r="G1563" s="29"/>
      <c r="H1563" s="56" t="s">
        <v>19</v>
      </c>
      <c r="I1563" s="56" t="s">
        <v>19</v>
      </c>
      <c r="J1563" s="56" t="s">
        <v>19</v>
      </c>
      <c r="K1563" s="55" t="str">
        <f t="shared" si="78"/>
        <v>International</v>
      </c>
    </row>
    <row r="1564" hidden="1">
      <c r="A1564" s="29"/>
      <c r="B1564" s="53" t="str">
        <f>IFERROR(__xludf.DUMMYFUNCTION("""COMPUTED_VALUE"""),"Andorra [GAZ:00002948]                    ")</f>
        <v>Andorra [GAZ:00002948]                    </v>
      </c>
      <c r="C1564" s="29" t="str">
        <f>IFERROR(__xludf.DUMMYFUNCTION("""COMPUTED_VALUE"""),"GAZ:00002948")</f>
        <v>GAZ:00002948</v>
      </c>
      <c r="D1564" s="29" t="str">
        <f>IFERROR(__xludf.DUMMYFUNCTION("""COMPUTED_VALUE"""),"A small landlocked country in western Europe, located in the eastern Pyrenees mountains and bordered by Spain (Catalonia) and France. Andorra consists of seven communities known as parishes (Catalan: parroquies, singular - parroquia). Until relatively rec"&amp;"ently, it had only six parishes; the seventh, Escaldes-Engordany, was created in 1978. Some parishes have a further territorial subdivision. Ordino, La Massana and Sant Julia de Loria are subdivided into quarts (quarters), while Canillo is subdivided into"&amp;" veinats (neighborhoods). Those mostly coincide with villages, which are found in all parishes. [ url:http://en.wikipedia.org/wiki/Andorra ]")</f>
        <v>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v>
      </c>
      <c r="E1564" s="29"/>
      <c r="F1564" s="29"/>
      <c r="G1564" s="29"/>
      <c r="H1564" s="56" t="s">
        <v>19</v>
      </c>
      <c r="I1564" s="56" t="s">
        <v>19</v>
      </c>
      <c r="J1564" s="56" t="s">
        <v>19</v>
      </c>
      <c r="K1564" s="55" t="str">
        <f t="shared" si="78"/>
        <v>International</v>
      </c>
    </row>
    <row r="1565" hidden="1">
      <c r="A1565" s="29"/>
      <c r="B1565" s="53" t="str">
        <f>IFERROR(__xludf.DUMMYFUNCTION("""COMPUTED_VALUE"""),"Angola [GAZ:00001095]                    ")</f>
        <v>Angola [GAZ:00001095]                    </v>
      </c>
      <c r="C1565" s="29" t="str">
        <f>IFERROR(__xludf.DUMMYFUNCTION("""COMPUTED_VALUE"""),"GAZ:00001095")</f>
        <v>GAZ:00001095</v>
      </c>
      <c r="D1565" s="29" t="str">
        <f>IFERROR(__xludf.DUMMYFUNCTION("""COMPUTED_VALUE"""),"A country in south-central Africa bordering Namibia to the south, Democratic Republic of the Congo to the north, and Zambia to the east, and with a west coast along the Atlantic Ocean. The exclave province Cabinda has a border with the Republic of the Con"&amp;"go and the Democratic Republic of the Congo. [ url:http://en.wikipedia.org/wiki/Angola ]")</f>
        <v>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v>
      </c>
      <c r="E1565" s="29"/>
      <c r="F1565" s="29"/>
      <c r="G1565" s="29"/>
      <c r="H1565" s="56" t="s">
        <v>19</v>
      </c>
      <c r="I1565" s="56" t="s">
        <v>19</v>
      </c>
      <c r="J1565" s="56" t="s">
        <v>19</v>
      </c>
      <c r="K1565" s="55" t="str">
        <f t="shared" si="78"/>
        <v>International</v>
      </c>
    </row>
    <row r="1566" hidden="1">
      <c r="A1566" s="29"/>
      <c r="B1566" s="53" t="str">
        <f>IFERROR(__xludf.DUMMYFUNCTION("""COMPUTED_VALUE"""),"Anguilla [GAZ:00009159]                    ")</f>
        <v>Anguilla [GAZ:00009159]                    </v>
      </c>
      <c r="C1566" s="29" t="str">
        <f>IFERROR(__xludf.DUMMYFUNCTION("""COMPUTED_VALUE"""),"GAZ:00009159")</f>
        <v>GAZ:00009159</v>
      </c>
      <c r="D1566" s="29" t="str">
        <f>IFERROR(__xludf.DUMMYFUNCTION("""COMPUTED_VALUE"""),"A British overseas territory in the Caribbean, one of the most northerly of the Leeward Islands in the Lesser Antilles. It consists of the main island of Anguilla itself, approximately 26 km long by 5 km wide at its widest point, together with a number of"&amp;" much smaller islands and cays with no permanent population. [ url:http://en.wikipedia.org/wiki/Anguila ]")</f>
        <v>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v>
      </c>
      <c r="E1566" s="29"/>
      <c r="F1566" s="29"/>
      <c r="G1566" s="29"/>
      <c r="H1566" s="56" t="s">
        <v>19</v>
      </c>
      <c r="I1566" s="56" t="s">
        <v>19</v>
      </c>
      <c r="J1566" s="56" t="s">
        <v>19</v>
      </c>
      <c r="K1566" s="55" t="str">
        <f t="shared" si="78"/>
        <v>International</v>
      </c>
    </row>
    <row r="1567" hidden="1">
      <c r="A1567" s="29"/>
      <c r="B1567" s="53" t="str">
        <f>IFERROR(__xludf.DUMMYFUNCTION("""COMPUTED_VALUE"""),"Antarctica [GAZ:00000462]                    ")</f>
        <v>Antarctica [GAZ:00000462]                    </v>
      </c>
      <c r="C1567" s="29" t="str">
        <f>IFERROR(__xludf.DUMMYFUNCTION("""COMPUTED_VALUE"""),"GAZ:00000462")</f>
        <v>GAZ:00000462</v>
      </c>
      <c r="D1567" s="29" t="str">
        <f>IFERROR(__xludf.DUMMYFUNCTION("""COMPUTED_VALUE"""),"The Earth's southernmost continent, overlying the South Pole. It is situated in the southern hemisphere, almost entirely south of the Antarctic Circle, and is surrounded by the Southern Ocean. [ url:http://en.wikipedia.org/wiki/Antarctica ]")</f>
        <v>The Earth's southernmost continent, overlying the South Pole. It is situated in the southern hemisphere, almost entirely south of the Antarctic Circle, and is surrounded by the Southern Ocean. [ url:http://en.wikipedia.org/wiki/Antarctica ]</v>
      </c>
      <c r="E1567" s="29"/>
      <c r="F1567" s="29"/>
      <c r="G1567" s="29"/>
      <c r="H1567" s="56" t="s">
        <v>19</v>
      </c>
      <c r="I1567" s="56" t="s">
        <v>19</v>
      </c>
      <c r="J1567" s="56" t="s">
        <v>19</v>
      </c>
      <c r="K1567" s="55" t="str">
        <f t="shared" si="78"/>
        <v>International</v>
      </c>
    </row>
    <row r="1568" hidden="1">
      <c r="A1568" s="29"/>
      <c r="B1568" s="53" t="str">
        <f>IFERROR(__xludf.DUMMYFUNCTION("""COMPUTED_VALUE"""),"Antigua and Barbuda [GAZ:00006883]                    ")</f>
        <v>Antigua and Barbuda [GAZ:00006883]                    </v>
      </c>
      <c r="C1568" s="29" t="str">
        <f>IFERROR(__xludf.DUMMYFUNCTION("""COMPUTED_VALUE"""),"GAZ:00006883")</f>
        <v>GAZ:00006883</v>
      </c>
      <c r="D1568" s="29" t="str">
        <f>IFERROR(__xludf.DUMMYFUNCTION("""COMPUTED_VALUE"""),"An island nation located on the eastern boundary of the Caribbean Sea with the Atlantic Ocean. [ url:http://en.wikipedia.org/wiki/Antigua_and_Barbuda ]")</f>
        <v>An island nation located on the eastern boundary of the Caribbean Sea with the Atlantic Ocean. [ url:http://en.wikipedia.org/wiki/Antigua_and_Barbuda ]</v>
      </c>
      <c r="E1568" s="29"/>
      <c r="F1568" s="29"/>
      <c r="G1568" s="29"/>
      <c r="H1568" s="56" t="s">
        <v>19</v>
      </c>
      <c r="I1568" s="56" t="s">
        <v>19</v>
      </c>
      <c r="J1568" s="56" t="s">
        <v>19</v>
      </c>
      <c r="K1568" s="55" t="str">
        <f t="shared" si="78"/>
        <v>International</v>
      </c>
    </row>
    <row r="1569" hidden="1">
      <c r="A1569" s="29"/>
      <c r="B1569" s="53" t="str">
        <f>IFERROR(__xludf.DUMMYFUNCTION("""COMPUTED_VALUE"""),"Argentina [GAZ:00002928]                    ")</f>
        <v>Argentina [GAZ:00002928]                    </v>
      </c>
      <c r="C1569" s="29" t="str">
        <f>IFERROR(__xludf.DUMMYFUNCTION("""COMPUTED_VALUE"""),"GAZ:00002928")</f>
        <v>GAZ:00002928</v>
      </c>
      <c r="D1569" s="29" t="str">
        <f>IFERROR(__xludf.DUMMYFUNCTION("""COMPUTED_VALUE"""),"A South American country, constituted as a federation of twenty-three provinces and an autonomous city. It is bordered by Paraguay and Bolivia in the north, Brazil and Uruguay in the northeast, and Chile in the west and south. The country claims the Briti"&amp;"sh controlled territories of the Falkland Islands and South Georgia and the South Sandwich Islands. Argentina also claims 969,464 km2 of Antarctica, known as Argentine Antarctica, overlapping other claims made by Chile and the United Kingdom. Argentina is"&amp;" subdivided into twenty-three provinces (Spanish: provincias, singular provincia) and one federal district (Capital de la Republica or Capital de la Nacion, informally the Capital Federal). The federal district and the provinces have their own constitutio"&amp;"ns, but exist under a federal system. Provinces are then divided into departments (Spanish: departamentos, singular departamento), except for Buenos Aires Province, which is divided into partidos. [ url:http://en.wikipedia.org/wiki/Argentina ]")</f>
        <v>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v>
      </c>
      <c r="E1569" s="29"/>
      <c r="F1569" s="29"/>
      <c r="G1569" s="29"/>
      <c r="H1569" s="56" t="s">
        <v>19</v>
      </c>
      <c r="I1569" s="56" t="s">
        <v>19</v>
      </c>
      <c r="J1569" s="56" t="s">
        <v>19</v>
      </c>
      <c r="K1569" s="55" t="str">
        <f t="shared" si="78"/>
        <v>International</v>
      </c>
    </row>
    <row r="1570" hidden="1">
      <c r="A1570" s="29"/>
      <c r="B1570" s="53" t="str">
        <f>IFERROR(__xludf.DUMMYFUNCTION("""COMPUTED_VALUE"""),"Armenia [GAZ:00004094]                    ")</f>
        <v>Armenia [GAZ:00004094]                    </v>
      </c>
      <c r="C1570" s="29" t="str">
        <f>IFERROR(__xludf.DUMMYFUNCTION("""COMPUTED_VALUE"""),"GAZ:00004094")</f>
        <v>GAZ:00004094</v>
      </c>
      <c r="D1570" s="29" t="str">
        <f>IFERROR(__xludf.DUMMYFUNCTION("""COMPUTED_VALUE"""),"A landlocked mountainous country in Eurasia between the Black Sea and the Caspian Sea in the Southern Caucasus. It borders Turkey to the west, Georgia to the north, Azerbaijan to the east, and Iran and the Nakhchivan exclave of Azerbaijan to the south. A "&amp;"transcontinental country at the juncture of Eastern Europe and Western Asia. A former republic of the Soviet Union. Armenia is divided into ten marzes (provinces, singular marz), with the city (kaghak) of Yerevan having special administrative status as th"&amp;"e country's capital. [ url:http://en.wikipedia.org/wiki/Armenia ]")</f>
        <v>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v>
      </c>
      <c r="E1570" s="29"/>
      <c r="F1570" s="29"/>
      <c r="G1570" s="29"/>
      <c r="H1570" s="56" t="s">
        <v>19</v>
      </c>
      <c r="I1570" s="56" t="s">
        <v>19</v>
      </c>
      <c r="J1570" s="56" t="s">
        <v>19</v>
      </c>
      <c r="K1570" s="55" t="str">
        <f t="shared" si="78"/>
        <v>International</v>
      </c>
    </row>
    <row r="1571" hidden="1">
      <c r="A1571" s="29"/>
      <c r="B1571" s="53" t="str">
        <f>IFERROR(__xludf.DUMMYFUNCTION("""COMPUTED_VALUE"""),"Aruba [GAZ:00004025]                    ")</f>
        <v>Aruba [GAZ:00004025]                    </v>
      </c>
      <c r="C1571" s="29" t="str">
        <f>IFERROR(__xludf.DUMMYFUNCTION("""COMPUTED_VALUE"""),"GAZ:00004025")</f>
        <v>GAZ:00004025</v>
      </c>
      <c r="D1571" s="29" t="str">
        <f>IFERROR(__xludf.DUMMYFUNCTION("""COMPUTED_VALUE"""),"An autonomous region within the Kingdom of the Netherlands, Aruba has no administrative subdivisions. [ url:http://en.wikipedia.org/wiki/Aruba ]")</f>
        <v>An autonomous region within the Kingdom of the Netherlands, Aruba has no administrative subdivisions. [ url:http://en.wikipedia.org/wiki/Aruba ]</v>
      </c>
      <c r="E1571" s="29"/>
      <c r="F1571" s="29"/>
      <c r="G1571" s="29"/>
      <c r="H1571" s="56" t="s">
        <v>19</v>
      </c>
      <c r="I1571" s="56" t="s">
        <v>19</v>
      </c>
      <c r="J1571" s="56" t="s">
        <v>19</v>
      </c>
      <c r="K1571" s="55" t="str">
        <f t="shared" si="78"/>
        <v>International</v>
      </c>
    </row>
    <row r="1572" hidden="1">
      <c r="A1572" s="29"/>
      <c r="B1572" s="53" t="str">
        <f>IFERROR(__xludf.DUMMYFUNCTION("""COMPUTED_VALUE"""),"Ashmore and Cartier Islands [GAZ:00005901]                    ")</f>
        <v>Ashmore and Cartier Islands [GAZ:00005901]                    </v>
      </c>
      <c r="C1572" s="29" t="str">
        <f>IFERROR(__xludf.DUMMYFUNCTION("""COMPUTED_VALUE"""),"GAZ:00005901")</f>
        <v>GAZ:00005901</v>
      </c>
      <c r="D1572" s="29" t="str">
        <f>IFERROR(__xludf.DUMMYFUNCTION("""COMPUTED_VALUE"""),"A Territory of Australia that includes two groups of small low-lying uninhabited tropical islands in the Indian Ocean situated on the edge of the continental shelf north-west of Australia and south of the Indonesian island of Roti. [ url:http://en.wikiped"&amp;"ia.org/wiki/Ashmore_and_Cartier_Islands ]")</f>
        <v>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v>
      </c>
      <c r="E1572" s="29"/>
      <c r="F1572" s="29"/>
      <c r="G1572" s="29"/>
      <c r="H1572" s="56" t="s">
        <v>19</v>
      </c>
      <c r="I1572" s="56" t="s">
        <v>19</v>
      </c>
      <c r="J1572" s="56" t="s">
        <v>19</v>
      </c>
      <c r="K1572" s="55" t="str">
        <f t="shared" si="78"/>
        <v>International</v>
      </c>
    </row>
    <row r="1573" hidden="1">
      <c r="A1573" s="29"/>
      <c r="B1573" s="53" t="str">
        <f>IFERROR(__xludf.DUMMYFUNCTION("""COMPUTED_VALUE"""),"Australia [GAZ:00000463]                    ")</f>
        <v>Australia [GAZ:00000463]                    </v>
      </c>
      <c r="C1573" s="29" t="str">
        <f>IFERROR(__xludf.DUMMYFUNCTION("""COMPUTED_VALUE"""),"GAZ:00000463")</f>
        <v>GAZ:00000463</v>
      </c>
      <c r="D1573" s="29" t="str">
        <f>IFERROR(__xludf.DUMMYFUNCTION("""COMPUTED_VALUE"""),"A country in the southern hemisphere comprising the mainland of the world's smallest continent, the major island of Tasmania, and a number of other islands in the Indian and Pacific Oceans. The neighbouring countries are Indonesia, East Timor, and Papua N"&amp;"ew Guinea to the north, the Solomon Islands, Vanuatu, and New Caledonia to the north-east, and New Zealand to the south-east. Australia has six states, two major mainland territories, and other minor territories.")</f>
        <v>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v>
      </c>
      <c r="E1573" s="29"/>
      <c r="F1573" s="29"/>
      <c r="G1573" s="29"/>
      <c r="H1573" s="56" t="s">
        <v>19</v>
      </c>
      <c r="I1573" s="56" t="s">
        <v>19</v>
      </c>
      <c r="J1573" s="56" t="s">
        <v>19</v>
      </c>
      <c r="K1573" s="55" t="str">
        <f t="shared" si="78"/>
        <v>International</v>
      </c>
    </row>
    <row r="1574" hidden="1">
      <c r="A1574" s="29"/>
      <c r="B1574" s="53" t="str">
        <f>IFERROR(__xludf.DUMMYFUNCTION("""COMPUTED_VALUE"""),"Austria [GAZ:00002942]                    ")</f>
        <v>Austria [GAZ:00002942]                    </v>
      </c>
      <c r="C1574" s="29" t="str">
        <f>IFERROR(__xludf.DUMMYFUNCTION("""COMPUTED_VALUE"""),"GAZ:00002942")</f>
        <v>GAZ:00002942</v>
      </c>
      <c r="D1574" s="29" t="str">
        <f>IFERROR(__xludf.DUMMYFUNCTION("""COMPUTED_VALUE"""),"A landlocked country in Central Europe. It borders both Germany and the Czech Republic to the north, Slovakia and Hungary to the east, Slovenia and Italy to the south, and Switzerland and Liechtenstein to the west. The capital is the city of Vienna on the"&amp;" Danube River. Austria is divided into nine states (Bundeslander). These states are then divided into districts (Bezirke) and cities (Statutarstadte). Districts are subdivided into municipalities (Gemeinden). Cities have the competencies otherwise granted"&amp;" to both districts and municipalities.")</f>
        <v>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v>
      </c>
      <c r="E1574" s="29"/>
      <c r="F1574" s="29"/>
      <c r="G1574" s="29"/>
      <c r="H1574" s="56" t="s">
        <v>19</v>
      </c>
      <c r="I1574" s="56" t="s">
        <v>19</v>
      </c>
      <c r="J1574" s="56" t="s">
        <v>19</v>
      </c>
      <c r="K1574" s="55" t="str">
        <f t="shared" si="78"/>
        <v>International</v>
      </c>
    </row>
    <row r="1575" hidden="1">
      <c r="A1575" s="29"/>
      <c r="B1575" s="53" t="str">
        <f>IFERROR(__xludf.DUMMYFUNCTION("""COMPUTED_VALUE"""),"Azerbaijan [GAZ:00004941]                    ")</f>
        <v>Azerbaijan [GAZ:00004941]                    </v>
      </c>
      <c r="C1575" s="29" t="str">
        <f>IFERROR(__xludf.DUMMYFUNCTION("""COMPUTED_VALUE"""),"GAZ:00004941")</f>
        <v>GAZ:00004941</v>
      </c>
      <c r="D1575" s="29" t="str">
        <f>IFERROR(__xludf.DUMMYFUNCTION("""COMPUTED_VALUE"""),"A country in the he South Caucasus region of Eurasia, it is bounded by the Caspian Sea to the east, Russia to the north, Georgia to the northwest, Armenia to the west, and Iran to the south. The Azerbaijani exclave of Nakhchivan is bordered by Armenia to "&amp;"the north and east, Iran to the south and west, and Turkey to the northwest. Nagorno-Karabakh, along with 7 other districts in Azerbaijan's southwest, have been controlled by Armenia since the end of the Nagorno-Karabakh War in 1994. Azerbaijan is divided"&amp;" into 59 rayons 11 city districts (saharlar), and one autonomous republic (muxtar respublika).")</f>
        <v>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v>
      </c>
      <c r="E1575" s="29"/>
      <c r="F1575" s="29"/>
      <c r="G1575" s="29"/>
      <c r="H1575" s="56" t="s">
        <v>19</v>
      </c>
      <c r="I1575" s="56" t="s">
        <v>19</v>
      </c>
      <c r="J1575" s="56" t="s">
        <v>19</v>
      </c>
      <c r="K1575" s="55" t="str">
        <f t="shared" si="78"/>
        <v>International</v>
      </c>
    </row>
    <row r="1576" hidden="1">
      <c r="A1576" s="29"/>
      <c r="B1576" s="53" t="str">
        <f>IFERROR(__xludf.DUMMYFUNCTION("""COMPUTED_VALUE"""),"Bahamas [GAZ:00002733]                    ")</f>
        <v>Bahamas [GAZ:00002733]                    </v>
      </c>
      <c r="C1576" s="29" t="str">
        <f>IFERROR(__xludf.DUMMYFUNCTION("""COMPUTED_VALUE"""),"GAZ:00002733")</f>
        <v>GAZ:00002733</v>
      </c>
      <c r="D1576" s="29" t="str">
        <f>IFERROR(__xludf.DUMMYFUNCTION("""COMPUTED_VALUE"""),"A country consisting of two thousand cays and seven hundred islands that form an archipelago. It is located in the Atlantic Ocean, southeast of Florida and the United States, north of Cuba, the island of Hispanola and the Caribbean, and northwest of the B"&amp;"ritish overseas territory of the Turks and Caicos Islands. It is divided into 32 districts, plus New Providence, whose affairs are handled directly by the central government.")</f>
        <v>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v>
      </c>
      <c r="E1576" s="29"/>
      <c r="F1576" s="29"/>
      <c r="G1576" s="29"/>
      <c r="H1576" s="56" t="s">
        <v>19</v>
      </c>
      <c r="I1576" s="56" t="s">
        <v>19</v>
      </c>
      <c r="J1576" s="56" t="s">
        <v>19</v>
      </c>
      <c r="K1576" s="55" t="str">
        <f t="shared" si="78"/>
        <v>International</v>
      </c>
    </row>
    <row r="1577" hidden="1">
      <c r="A1577" s="29"/>
      <c r="B1577" s="53" t="str">
        <f>IFERROR(__xludf.DUMMYFUNCTION("""COMPUTED_VALUE"""),"Bahrain [GAZ:00005281]                    ")</f>
        <v>Bahrain [GAZ:00005281]                    </v>
      </c>
      <c r="C1577" s="29" t="str">
        <f>IFERROR(__xludf.DUMMYFUNCTION("""COMPUTED_VALUE"""),"GAZ:00005281")</f>
        <v>GAZ:00005281</v>
      </c>
      <c r="D1577" s="29" t="str">
        <f>IFERROR(__xludf.DUMMYFUNCTION("""COMPUTED_VALUE"""),"A borderless island country in the Persian Gulf. Saudi Arabia lies to the west and is connected to Bahrain by the King Fahd Causeway, and Qatar is to the south across the Gulf of Bahrain. Bahrain is split into five governorates.")</f>
        <v>A borderless island country in the Persian Gulf. Saudi Arabia lies to the west and is connected to Bahrain by the King Fahd Causeway, and Qatar is to the south across the Gulf of Bahrain. Bahrain is split into five governorates.</v>
      </c>
      <c r="E1577" s="29"/>
      <c r="F1577" s="29"/>
      <c r="G1577" s="29"/>
      <c r="H1577" s="56" t="s">
        <v>19</v>
      </c>
      <c r="I1577" s="56" t="s">
        <v>19</v>
      </c>
      <c r="J1577" s="56" t="s">
        <v>19</v>
      </c>
      <c r="K1577" s="55" t="str">
        <f t="shared" si="78"/>
        <v>International</v>
      </c>
    </row>
    <row r="1578" hidden="1">
      <c r="A1578" s="29"/>
      <c r="B1578" s="53" t="str">
        <f>IFERROR(__xludf.DUMMYFUNCTION("""COMPUTED_VALUE"""),"Baker Island [GAZ:00007117]                    ")</f>
        <v>Baker Island [GAZ:00007117]                    </v>
      </c>
      <c r="C1578" s="29" t="str">
        <f>IFERROR(__xludf.DUMMYFUNCTION("""COMPUTED_VALUE"""),"GAZ:00007117")</f>
        <v>GAZ:00007117</v>
      </c>
      <c r="D1578" s="29" t="str">
        <f>IFERROR(__xludf.DUMMYFUNCTION("""COMPUTED_VALUE"""),"An uninhabited atoll located just north of the equator in the central Pacific Ocean about 3,100 km southwest of Honolulu. Baker Island is an unincorporated and unorganized territory of the US.")</f>
        <v>An uninhabited atoll located just north of the equator in the central Pacific Ocean about 3,100 km southwest of Honolulu. Baker Island is an unincorporated and unorganized territory of the US.</v>
      </c>
      <c r="E1578" s="29"/>
      <c r="F1578" s="29"/>
      <c r="G1578" s="29"/>
      <c r="H1578" s="56" t="s">
        <v>19</v>
      </c>
      <c r="I1578" s="56" t="s">
        <v>19</v>
      </c>
      <c r="J1578" s="56" t="s">
        <v>19</v>
      </c>
      <c r="K1578" s="55" t="str">
        <f t="shared" si="78"/>
        <v>International</v>
      </c>
    </row>
    <row r="1579" hidden="1">
      <c r="A1579" s="29"/>
      <c r="B1579" s="53" t="str">
        <f>IFERROR(__xludf.DUMMYFUNCTION("""COMPUTED_VALUE"""),"Bangladesh [GAZ:00003750]                    ")</f>
        <v>Bangladesh [GAZ:00003750]                    </v>
      </c>
      <c r="C1579" s="29" t="str">
        <f>IFERROR(__xludf.DUMMYFUNCTION("""COMPUTED_VALUE"""),"GAZ:00003750")</f>
        <v>GAZ:00003750</v>
      </c>
      <c r="D1579" s="29" t="str">
        <f>IFERROR(__xludf.DUMMYFUNCTION("""COMPUTED_VALUE"""),"A country in South Asia. It is bordered by India on all sides except for a small border with Myanmar to the far southeast and by the Bay of Bengal to the south. Bangladesh is divided into six administrative divisions. Divisions are subdivided into distric"&amp;"ts (zila). There are 64 districts in Bangladesh, each further subdivided into upazila (subdistricts) or thana (""police stations"").")</f>
        <v>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v>
      </c>
      <c r="E1579" s="29"/>
      <c r="F1579" s="29"/>
      <c r="G1579" s="29"/>
      <c r="H1579" s="56" t="s">
        <v>19</v>
      </c>
      <c r="I1579" s="56" t="s">
        <v>19</v>
      </c>
      <c r="J1579" s="56" t="s">
        <v>19</v>
      </c>
      <c r="K1579" s="55" t="str">
        <f t="shared" si="78"/>
        <v>International</v>
      </c>
    </row>
    <row r="1580" hidden="1">
      <c r="A1580" s="29"/>
      <c r="B1580" s="29" t="str">
        <f>IFERROR(__xludf.DUMMYFUNCTION("""COMPUTED_VALUE"""),"Barbados [GAZ:00001251]                    ")</f>
        <v>Barbados [GAZ:00001251]                    </v>
      </c>
      <c r="C1580" s="29" t="str">
        <f>IFERROR(__xludf.DUMMYFUNCTION("""COMPUTED_VALUE"""),"GAZ:00001251")</f>
        <v>GAZ:00001251</v>
      </c>
      <c r="D1580" s="29" t="str">
        <f>IFERROR(__xludf.DUMMYFUNCTION("""COMPUTED_VALUE"""),"An island country in the Lesser Antilles of the West Indies, in the Caribbean region of the Americas, and the most easterly of the Caribbean Islands. It is 34 kilometres (21 miles) in length and up to 23 km (14 mi) in width, covering an area of 432 km2 (1"&amp;"67 sq mi). It is in the western part of the North Atlantic, 100 km (62 mi) east of the Windward Islands and the Caribbean Sea.[7] Barbados is east of the Windwards, part of the Lesser Antilles, at roughly 13°N of the equator. It is about 168 km (104 mi) e"&amp;"ast of both the countries of Saint Lucia and Saint Vincent and the Grenadines and 180 km (110 mi) south-east of Martinique and 400 km (250 mi) north-east of Trinidad and Tobago. Barbados is outside the principal Atlantic hurricane belt. Its capital and la"&amp;"rgest city is Bridgetown.")</f>
        <v>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v>
      </c>
      <c r="E1580" s="29"/>
      <c r="F1580" s="29"/>
      <c r="G1580" s="29"/>
      <c r="H1580" s="56" t="s">
        <v>19</v>
      </c>
      <c r="I1580" s="56" t="s">
        <v>19</v>
      </c>
      <c r="J1580" s="56" t="s">
        <v>19</v>
      </c>
      <c r="K1580" s="55" t="str">
        <f t="shared" si="78"/>
        <v>International</v>
      </c>
    </row>
    <row r="1581" hidden="1">
      <c r="A1581" s="29"/>
      <c r="B1581" s="29" t="str">
        <f>IFERROR(__xludf.DUMMYFUNCTION("""COMPUTED_VALUE"""),"Bassas da India [GAZ:00005810]                    ")</f>
        <v>Bassas da India [GAZ:00005810]                    </v>
      </c>
      <c r="C1581" s="29" t="str">
        <f>IFERROR(__xludf.DUMMYFUNCTION("""COMPUTED_VALUE"""),"GAZ:00005810")</f>
        <v>GAZ:00005810</v>
      </c>
      <c r="D1581" s="29" t="str">
        <f>IFERROR(__xludf.DUMMYFUNCTION("""COMPUTED_VALUE"""),"A roughly circular atoll about 10 km in diameter, which corresponds to a total size (including lagoon) of 80 km2. It is located in the southern Mozambique Channel, about half-way between Madagascar (which is 385 km to the east) and Mozambique, and 110 km "&amp;"northwest of Europa Island. It rises steeply from the seabed 3000 m below.")</f>
        <v>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v>
      </c>
      <c r="E1581" s="29"/>
      <c r="F1581" s="29"/>
      <c r="G1581" s="29"/>
      <c r="H1581" s="56" t="s">
        <v>19</v>
      </c>
      <c r="I1581" s="56" t="s">
        <v>19</v>
      </c>
      <c r="J1581" s="56" t="s">
        <v>19</v>
      </c>
      <c r="K1581" s="55" t="str">
        <f t="shared" si="78"/>
        <v>International</v>
      </c>
    </row>
    <row r="1582" hidden="1">
      <c r="A1582" s="29"/>
      <c r="B1582" s="29" t="str">
        <f>IFERROR(__xludf.DUMMYFUNCTION("""COMPUTED_VALUE"""),"Belarus [GAZ:00006886]                    ")</f>
        <v>Belarus [GAZ:00006886]                    </v>
      </c>
      <c r="C1582" s="29" t="str">
        <f>IFERROR(__xludf.DUMMYFUNCTION("""COMPUTED_VALUE"""),"GAZ:00006886")</f>
        <v>GAZ:00006886</v>
      </c>
      <c r="D1582" s="29" t="str">
        <f>IFERROR(__xludf.DUMMYFUNCTION("""COMPUTED_VALUE"""),"A landlocked country in Eastern Europe, that borders Russia to the north and east, Ukraine to the south, Poland to the west, and Lithuania and Latvia to the north. Its capital is Minsk. Belarus is divided into six voblasts, or provinces. Voblasts are furt"&amp;"her subdivided into raions (commonly translated as districts or regions). As of 2002, there are six voblasts, 118 raions, 102 towns and 108 urbanized settlements. Minsk is given a special status, due to the city serving as the national capital.")</f>
        <v>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v>
      </c>
      <c r="E1582" s="29"/>
      <c r="F1582" s="29"/>
      <c r="G1582" s="29"/>
      <c r="H1582" s="56" t="s">
        <v>19</v>
      </c>
      <c r="I1582" s="56" t="s">
        <v>19</v>
      </c>
      <c r="J1582" s="56" t="s">
        <v>19</v>
      </c>
      <c r="K1582" s="55" t="str">
        <f t="shared" si="78"/>
        <v>International</v>
      </c>
    </row>
    <row r="1583" hidden="1">
      <c r="A1583" s="29"/>
      <c r="B1583" s="29" t="str">
        <f>IFERROR(__xludf.DUMMYFUNCTION("""COMPUTED_VALUE"""),"Belgium [GAZ:00002938]                    ")</f>
        <v>Belgium [GAZ:00002938]                    </v>
      </c>
      <c r="C1583" s="29" t="str">
        <f>IFERROR(__xludf.DUMMYFUNCTION("""COMPUTED_VALUE"""),"GAZ:00002938")</f>
        <v>GAZ:00002938</v>
      </c>
      <c r="D1583" s="29" t="str">
        <f>IFERROR(__xludf.DUMMYFUNCTION("""COMPUTED_VALUE"""),"A country in northwest Europe. Belgium shares borders with France (620 km), Germany (167 km), Luxembourg (148 km) and the Netherlands (450 km). The Flemish Region (Flanders) and the Walloon Region (Wallonia) each comprise five provinces; the third region,"&amp;" Brussels-Capital Region, is not a province, nor does it contain any Together, these comprise 589 municipalities, which in general consist of several sub-municipalities (which were independent municipalities before the municipal merger operation mainly in"&amp;" 1977).")</f>
        <v>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v>
      </c>
      <c r="E1583" s="29"/>
      <c r="F1583" s="29"/>
      <c r="G1583" s="29"/>
      <c r="H1583" s="56" t="s">
        <v>19</v>
      </c>
      <c r="I1583" s="56" t="s">
        <v>19</v>
      </c>
      <c r="J1583" s="56" t="s">
        <v>19</v>
      </c>
      <c r="K1583" s="55" t="str">
        <f t="shared" si="78"/>
        <v>International</v>
      </c>
    </row>
    <row r="1584" hidden="1">
      <c r="A1584" s="29"/>
      <c r="B1584" s="29" t="str">
        <f>IFERROR(__xludf.DUMMYFUNCTION("""COMPUTED_VALUE"""),"Belize [GAZ:00002934]                    ")</f>
        <v>Belize [GAZ:00002934]                    </v>
      </c>
      <c r="C1584" s="29" t="str">
        <f>IFERROR(__xludf.DUMMYFUNCTION("""COMPUTED_VALUE"""),"GAZ:00002934")</f>
        <v>GAZ:00002934</v>
      </c>
      <c r="D1584" s="29" t="str">
        <f>IFERROR(__xludf.DUMMYFUNCTION("""COMPUTED_VALUE"""),"A country in Central America. It is the only officially English speaking country in the region. Belize was a British colony for more than a century and was known as British Honduras until 1973. It became an independent nation within The Commonwealth in 19"&amp;"81. Belize is divided into 6 districts, which are further divided into 31 constituencies.")</f>
        <v>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v>
      </c>
      <c r="E1584" s="29"/>
      <c r="F1584" s="29"/>
      <c r="G1584" s="29"/>
      <c r="H1584" s="56" t="s">
        <v>19</v>
      </c>
      <c r="I1584" s="56" t="s">
        <v>19</v>
      </c>
      <c r="J1584" s="56" t="s">
        <v>19</v>
      </c>
      <c r="K1584" s="55" t="str">
        <f t="shared" si="78"/>
        <v>International</v>
      </c>
    </row>
    <row r="1585" hidden="1">
      <c r="A1585" s="29"/>
      <c r="B1585" s="29" t="str">
        <f>IFERROR(__xludf.DUMMYFUNCTION("""COMPUTED_VALUE"""),"Benin [GAZ:00000904]                    ")</f>
        <v>Benin [GAZ:00000904]                    </v>
      </c>
      <c r="C1585" s="29" t="str">
        <f>IFERROR(__xludf.DUMMYFUNCTION("""COMPUTED_VALUE"""),"GAZ:00000904")</f>
        <v>GAZ:00000904</v>
      </c>
      <c r="D1585" s="29" t="str">
        <f>IFERROR(__xludf.DUMMYFUNCTION("""COMPUTED_VALUE"""),"A country in Western Africa. It borders Togo to the west, Nigeria to the east and Burkina Faso and Niger to the north; its short coastline to the south leads to the Bight of Benin. Its capital is Porto Novo, but the seat of government is Cotonou. Benin is"&amp;" divided into 12 departments and subdivided into 77 communes.")</f>
        <v>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v>
      </c>
      <c r="E1585" s="29"/>
      <c r="F1585" s="29"/>
      <c r="G1585" s="29"/>
      <c r="H1585" s="56" t="s">
        <v>19</v>
      </c>
      <c r="I1585" s="56" t="s">
        <v>19</v>
      </c>
      <c r="J1585" s="56" t="s">
        <v>19</v>
      </c>
      <c r="K1585" s="55" t="str">
        <f t="shared" si="78"/>
        <v>International</v>
      </c>
    </row>
    <row r="1586" hidden="1">
      <c r="A1586" s="29"/>
      <c r="B1586" s="29" t="str">
        <f>IFERROR(__xludf.DUMMYFUNCTION("""COMPUTED_VALUE"""),"Bermuda [GAZ:00001264]                    ")</f>
        <v>Bermuda [GAZ:00001264]                    </v>
      </c>
      <c r="C1586" s="29" t="str">
        <f>IFERROR(__xludf.DUMMYFUNCTION("""COMPUTED_VALUE"""),"GAZ:00001264")</f>
        <v>GAZ:00001264</v>
      </c>
      <c r="D1586" s="29" t="str">
        <f>IFERROR(__xludf.DUMMYFUNCTION("""COMPUTED_VALUE"""),"A British overseas territory in the North Atlantic Ocean. Located off the east coast of the United States, it is situated around 1770 km NE of Miami, Florida and 1350 km S of Halifax, Nova Scotia. Comprised of approximately 138 islands.")</f>
        <v>A British overseas territory in the North Atlantic Ocean. Located off the east coast of the United States, it is situated around 1770 km NE of Miami, Florida and 1350 km S of Halifax, Nova Scotia. Comprised of approximately 138 islands.</v>
      </c>
      <c r="E1586" s="29"/>
      <c r="F1586" s="29"/>
      <c r="G1586" s="29"/>
      <c r="H1586" s="56" t="s">
        <v>19</v>
      </c>
      <c r="I1586" s="56" t="s">
        <v>19</v>
      </c>
      <c r="J1586" s="56" t="s">
        <v>19</v>
      </c>
      <c r="K1586" s="55" t="str">
        <f t="shared" si="78"/>
        <v>International</v>
      </c>
    </row>
    <row r="1587" hidden="1">
      <c r="A1587" s="29"/>
      <c r="B1587" s="29" t="str">
        <f>IFERROR(__xludf.DUMMYFUNCTION("""COMPUTED_VALUE"""),"Bhutan [GAZ:00003920]                    ")</f>
        <v>Bhutan [GAZ:00003920]                    </v>
      </c>
      <c r="C1587" s="29" t="str">
        <f>IFERROR(__xludf.DUMMYFUNCTION("""COMPUTED_VALUE"""),"GAZ:00003920")</f>
        <v>GAZ:00003920</v>
      </c>
      <c r="D1587" s="29" t="str">
        <f>IFERROR(__xludf.DUMMYFUNCTION("""COMPUTED_VALUE"""),"A landlocked nation in South Asia. It is located amidst the eastern end of the Himalaya Mountains and is bordered to the south, east and west by India and to the north by Tibet. Bhutan is separated from Nepal by the Indian State of Sikkim. Bhutan is divid"&amp;"ed into four dzongdey (administrative zones). Each dzongdey is further divided into dzongkhag (districts). There are twenty dzongkhag in Bhutan. Large dzongkhags are further divided into subdistricts known as dungkhag. At the basic level, groups of villag"&amp;"es form a constituency called gewog.")</f>
        <v>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v>
      </c>
      <c r="E1587" s="29"/>
      <c r="F1587" s="29"/>
      <c r="G1587" s="29"/>
      <c r="H1587" s="56" t="s">
        <v>19</v>
      </c>
      <c r="I1587" s="56" t="s">
        <v>19</v>
      </c>
      <c r="J1587" s="56" t="s">
        <v>19</v>
      </c>
      <c r="K1587" s="55" t="str">
        <f t="shared" si="78"/>
        <v>International</v>
      </c>
    </row>
    <row r="1588" hidden="1">
      <c r="A1588" s="29"/>
      <c r="B1588" s="29" t="str">
        <f>IFERROR(__xludf.DUMMYFUNCTION("""COMPUTED_VALUE"""),"Bolivia [GAZ:00002511]                    ")</f>
        <v>Bolivia [GAZ:00002511]                    </v>
      </c>
      <c r="C1588" s="29" t="str">
        <f>IFERROR(__xludf.DUMMYFUNCTION("""COMPUTED_VALUE"""),"GAZ:00002511")</f>
        <v>GAZ:00002511</v>
      </c>
      <c r="D1588" s="29" t="str">
        <f>IFERROR(__xludf.DUMMYFUNCTION("""COMPUTED_VALUE"""),"A landlocked country in central South America. It is bordered by Brazil on the north and east, Paraguay and Argentina on the south, and Chile and Peru on the west. Bolivia is divided into 9 departments (Spanish: departamentos). Each of the departments is "&amp;"subdivided into provinces (provincias), which are further subdivided into municipalities (municipios).")</f>
        <v>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v>
      </c>
      <c r="E1588" s="29"/>
      <c r="F1588" s="29"/>
      <c r="G1588" s="29"/>
      <c r="H1588" s="56" t="s">
        <v>19</v>
      </c>
      <c r="I1588" s="56" t="s">
        <v>19</v>
      </c>
      <c r="J1588" s="56" t="s">
        <v>19</v>
      </c>
      <c r="K1588" s="55" t="str">
        <f t="shared" si="78"/>
        <v>International</v>
      </c>
    </row>
    <row r="1589" hidden="1">
      <c r="A1589" s="29"/>
      <c r="B1589" s="29" t="str">
        <f>IFERROR(__xludf.DUMMYFUNCTION("""COMPUTED_VALUE"""),"Borneo [GAZ:00025355]                    ")</f>
        <v>Borneo [GAZ:00025355]                    </v>
      </c>
      <c r="C1589" s="29" t="str">
        <f>IFERROR(__xludf.DUMMYFUNCTION("""COMPUTED_VALUE"""),"GAZ:00025355")</f>
        <v>GAZ:00025355</v>
      </c>
      <c r="D1589" s="29" t="str">
        <f>IFERROR(__xludf.DUMMYFUNCTION("""COMPUTED_VALUE"""),"An island at the grographic centre of Maritime Southeast Adia, in relation to major Indonesian islands, it is located north of Java, west of Sulawesi, and east of Sumatra. It is the third-largest island in the world and the larest in Asia. The island is p"&amp;"olitically divided among three countries: Malaysia and Brunei in the north, and Indonesia to the south.[1] Approximately 73% of the island is Indonesian territory. In the north, the East Malaysian states of Sabah and Sarawak make up about 26% of the islan"&amp;"d. Additionally, the Malaysian federal territory of Labuan is situated on a small island just off the coast of Borneo. The sovereign state of Brunei, located on the north coast, comprises about 1% of Borneo's land area. A little more than half of the isla"&amp;"nd is in the Northern Hemisphere, including Brunei and the Malaysian portion, while the Indonesian portion spans the Northern and Southern hemispheres.")</f>
        <v>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v>
      </c>
      <c r="E1589" s="29"/>
      <c r="F1589" s="29"/>
      <c r="G1589" s="29"/>
      <c r="H1589" s="56" t="s">
        <v>19</v>
      </c>
      <c r="I1589" s="56" t="s">
        <v>19</v>
      </c>
      <c r="J1589" s="56" t="s">
        <v>19</v>
      </c>
      <c r="K1589" s="55" t="str">
        <f t="shared" si="78"/>
        <v>International</v>
      </c>
    </row>
    <row r="1590" hidden="1">
      <c r="A1590" s="29"/>
      <c r="B1590" s="29" t="str">
        <f>IFERROR(__xludf.DUMMYFUNCTION("""COMPUTED_VALUE"""),"Bosnia and Herzegovina [GAZ:00006887]                    ")</f>
        <v>Bosnia and Herzegovina [GAZ:00006887]                    </v>
      </c>
      <c r="C1590" s="29" t="str">
        <f>IFERROR(__xludf.DUMMYFUNCTION("""COMPUTED_VALUE"""),"GAZ:00006887")</f>
        <v>GAZ:00006887</v>
      </c>
      <c r="D1590" s="29" t="str">
        <f>IFERROR(__xludf.DUMMYFUNCTION("""COMPUTED_VALUE"""),"A country on the Balkan peninsula of Southern Europe. Bordered by Croatia to the north, west and south, Serbia to the east, and Montenegro to the south, Bosnia and Herzegovina is mostly landlocked, except for 26 km of the Adriatic Sea coastline. Bosnia an"&amp;"d Herzegovina is now divided into three political regions of which one, the Brcko District is part of the other two, the Federacija Bosne i Hercegovine and the Republika Srpska. All three have an equal constitutional status on the whole territory of Bosni"&amp;"a and Herzegovina.")</f>
        <v>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v>
      </c>
      <c r="E1590" s="29"/>
      <c r="F1590" s="29"/>
      <c r="G1590" s="29"/>
      <c r="H1590" s="56" t="s">
        <v>19</v>
      </c>
      <c r="I1590" s="56" t="s">
        <v>19</v>
      </c>
      <c r="J1590" s="56" t="s">
        <v>19</v>
      </c>
      <c r="K1590" s="55" t="str">
        <f t="shared" si="78"/>
        <v>International</v>
      </c>
    </row>
    <row r="1591" hidden="1">
      <c r="A1591" s="29"/>
      <c r="B1591" s="29" t="str">
        <f>IFERROR(__xludf.DUMMYFUNCTION("""COMPUTED_VALUE"""),"Botswana [GAZ:00001097]                    ")</f>
        <v>Botswana [GAZ:00001097]                    </v>
      </c>
      <c r="C1591" s="29" t="str">
        <f>IFERROR(__xludf.DUMMYFUNCTION("""COMPUTED_VALUE"""),"GAZ:00001097")</f>
        <v>GAZ:00001097</v>
      </c>
      <c r="D1591" s="29" t="str">
        <f>IFERROR(__xludf.DUMMYFUNCTION("""COMPUTED_VALUE"""),"A landlocked nation in Southern Africa. It is bordered by South Africa to the south and southeast, Namibia to the west, Zambia to the north, and Zimbabwe to the northeast. Botswana is divided into nine districts, which are subdivided into a total twenty-e"&amp;"ight subdistricts.")</f>
        <v>A landlocked nation in Southern Africa. It is bordered by South Africa to the south and southeast, Namibia to the west, Zambia to the north, and Zimbabwe to the northeast. Botswana is divided into nine districts, which are subdivided into a total twenty-eight subdistricts.</v>
      </c>
      <c r="E1591" s="29"/>
      <c r="F1591" s="29"/>
      <c r="G1591" s="29"/>
      <c r="H1591" s="56" t="s">
        <v>19</v>
      </c>
      <c r="I1591" s="56" t="s">
        <v>19</v>
      </c>
      <c r="J1591" s="56" t="s">
        <v>19</v>
      </c>
      <c r="K1591" s="55" t="str">
        <f t="shared" si="78"/>
        <v>International</v>
      </c>
    </row>
    <row r="1592" hidden="1">
      <c r="A1592" s="29"/>
      <c r="B1592" s="29" t="str">
        <f>IFERROR(__xludf.DUMMYFUNCTION("""COMPUTED_VALUE"""),"Bouvet Island [GAZ:00001453]                    ")</f>
        <v>Bouvet Island [GAZ:00001453]                    </v>
      </c>
      <c r="C1592" s="29" t="str">
        <f>IFERROR(__xludf.DUMMYFUNCTION("""COMPUTED_VALUE"""),"GAZ:00001453")</f>
        <v>GAZ:00001453</v>
      </c>
      <c r="D1592" s="29" t="str">
        <f>IFERROR(__xludf.DUMMYFUNCTION("""COMPUTED_VALUE"""),"A sub-antarctic volcanic island in the South Atlantic Ocean, south-southwest of the Cape of Good Hope (South Africa). It is a dependent area of Norway and is not subject to the Antarctic Treaty, as it is north of the latitude south of which claims are sus"&amp;"pended.")</f>
        <v>A sub-antarctic volcanic island in the South Atlantic Ocean, south-southwest of the Cape of Good Hope (South Africa). It is a dependent area of Norway and is not subject to the Antarctic Treaty, as it is north of the latitude south of which claims are suspended.</v>
      </c>
      <c r="E1592" s="29"/>
      <c r="F1592" s="29"/>
      <c r="G1592" s="29"/>
      <c r="H1592" s="56" t="s">
        <v>19</v>
      </c>
      <c r="I1592" s="56" t="s">
        <v>19</v>
      </c>
      <c r="J1592" s="56" t="s">
        <v>19</v>
      </c>
      <c r="K1592" s="55" t="str">
        <f t="shared" si="78"/>
        <v>International</v>
      </c>
    </row>
    <row r="1593" hidden="1">
      <c r="A1593" s="29"/>
      <c r="B1593" s="29" t="str">
        <f>IFERROR(__xludf.DUMMYFUNCTION("""COMPUTED_VALUE"""),"Brazil [GAZ:00002828]                    ")</f>
        <v>Brazil [GAZ:00002828]                    </v>
      </c>
      <c r="C1593" s="29" t="str">
        <f>IFERROR(__xludf.DUMMYFUNCTION("""COMPUTED_VALUE"""),"GAZ:00002828")</f>
        <v>GAZ:00002828</v>
      </c>
      <c r="D1593" s="29" t="str">
        <f>IFERROR(__xludf.DUMMYFUNCTION("""COMPUTED_VALUE"""),"A country in South America. Bordered by the Atlantic Ocean and by Venezuela, Suriname, Guyana and the department of French Guiana to the north, Colombia to the northwest, Bolivia and Peru to the west, Argentina and Paraguay to the southwest, and Uruguay t"&amp;"o the south. Federation of twenty-six states (estados) and one federal district (Distrito Federal). The states are subdivided into municipalities. For statistical purposes, the States are grouped into five main regions: North, Northeast, Central-West, Sou"&amp;"theast and South.")</f>
        <v>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v>
      </c>
      <c r="E1593" s="29"/>
      <c r="F1593" s="29"/>
      <c r="G1593" s="29"/>
      <c r="H1593" s="56" t="s">
        <v>19</v>
      </c>
      <c r="I1593" s="56" t="s">
        <v>19</v>
      </c>
      <c r="J1593" s="56" t="s">
        <v>19</v>
      </c>
      <c r="K1593" s="55" t="str">
        <f t="shared" si="78"/>
        <v>International</v>
      </c>
    </row>
    <row r="1594" hidden="1">
      <c r="A1594" s="29"/>
      <c r="B1594" s="29" t="str">
        <f>IFERROR(__xludf.DUMMYFUNCTION("""COMPUTED_VALUE"""),"British Virgin Islands [GAZ:00003961]                    ")</f>
        <v>British Virgin Islands [GAZ:00003961]                    </v>
      </c>
      <c r="C1594" s="29" t="str">
        <f>IFERROR(__xludf.DUMMYFUNCTION("""COMPUTED_VALUE"""),"GAZ:00003961")</f>
        <v>GAZ:00003961</v>
      </c>
      <c r="D1594" s="29" t="str">
        <f>IFERROR(__xludf.DUMMYFUNCTION("""COMPUTED_VALUE"""),"A British overseas territory, located in the Caribbean to the east of Puerto Rico. The islands make up part of the Virgin Islands archipelago, the remaining islands constituting the US Virgin Islands. The British Virgin Islands consist of the main islands"&amp;" of Tortola, Virgin Gorda, Anegada and Jost Van Dyke, along with over fifty other smaller islands and cays. Approximately fifteen of the islands are inhabited.")</f>
        <v>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v>
      </c>
      <c r="E1594" s="29"/>
      <c r="F1594" s="29"/>
      <c r="G1594" s="29"/>
      <c r="H1594" s="56" t="s">
        <v>19</v>
      </c>
      <c r="I1594" s="56" t="s">
        <v>19</v>
      </c>
      <c r="J1594" s="56" t="s">
        <v>19</v>
      </c>
      <c r="K1594" s="55" t="str">
        <f t="shared" si="78"/>
        <v>International</v>
      </c>
    </row>
    <row r="1595" hidden="1">
      <c r="A1595" s="29"/>
      <c r="B1595" s="29" t="str">
        <f>IFERROR(__xludf.DUMMYFUNCTION("""COMPUTED_VALUE"""),"Brunei [GAZ:00003901]                    ")</f>
        <v>Brunei [GAZ:00003901]                    </v>
      </c>
      <c r="C1595" s="29" t="str">
        <f>IFERROR(__xludf.DUMMYFUNCTION("""COMPUTED_VALUE"""),"GAZ:00003901")</f>
        <v>GAZ:00003901</v>
      </c>
      <c r="D1595" s="29" t="str">
        <f>IFERROR(__xludf.DUMMYFUNCTION("""COMPUTED_VALUE"""),"A country located on the north coast of the island of Borneo, in Southeast Asia. Apart from its coastline with the South China Sea it is completely surrounded by the State of Sarawak, Malaysia, and in fact it is separated into two parts by Limbang, which "&amp;"is part of Sarawak. Brunei is divided into four districts (daerah), the districts are subdivided into thirty-eight mukims, which are then divided into kampong (villages).")</f>
        <v>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v>
      </c>
      <c r="E1595" s="29"/>
      <c r="F1595" s="29"/>
      <c r="G1595" s="29"/>
      <c r="H1595" s="56" t="s">
        <v>19</v>
      </c>
      <c r="I1595" s="56" t="s">
        <v>19</v>
      </c>
      <c r="J1595" s="56" t="s">
        <v>19</v>
      </c>
      <c r="K1595" s="55" t="str">
        <f t="shared" si="78"/>
        <v>International</v>
      </c>
    </row>
    <row r="1596" hidden="1">
      <c r="A1596" s="29"/>
      <c r="B1596" s="29" t="str">
        <f>IFERROR(__xludf.DUMMYFUNCTION("""COMPUTED_VALUE"""),"Bulgaria [GAZ:00002950]                    ")</f>
        <v>Bulgaria [GAZ:00002950]                    </v>
      </c>
      <c r="C1596" s="29" t="str">
        <f>IFERROR(__xludf.DUMMYFUNCTION("""COMPUTED_VALUE"""),"GAZ:00002950")</f>
        <v>GAZ:00002950</v>
      </c>
      <c r="D1596" s="29" t="str">
        <f>IFERROR(__xludf.DUMMYFUNCTION("""COMPUTED_VALUE"""),"A country in Southeastern Europe, borders five other countries; Romania to the north (mostly along the Danube), Serbia and the Republic of Macedonia to the west, and Greece and Turkey to the south. The Black Sea defines the extent of the country to the ea"&amp;"st. Since 1999, it has consisted of twenty-eight provinces. The provinces subdivide into 264 municipalities.")</f>
        <v>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v>
      </c>
      <c r="E1596" s="29"/>
      <c r="F1596" s="29"/>
      <c r="G1596" s="29"/>
      <c r="H1596" s="56" t="s">
        <v>19</v>
      </c>
      <c r="I1596" s="56" t="s">
        <v>19</v>
      </c>
      <c r="J1596" s="56" t="s">
        <v>19</v>
      </c>
      <c r="K1596" s="55" t="str">
        <f t="shared" si="78"/>
        <v>International</v>
      </c>
    </row>
    <row r="1597" hidden="1">
      <c r="A1597" s="29"/>
      <c r="B1597" s="29" t="str">
        <f>IFERROR(__xludf.DUMMYFUNCTION("""COMPUTED_VALUE"""),"Burkina Faso [GAZ:00000905]                    ")</f>
        <v>Burkina Faso [GAZ:00000905]                    </v>
      </c>
      <c r="C1597" s="29" t="str">
        <f>IFERROR(__xludf.DUMMYFUNCTION("""COMPUTED_VALUE"""),"GAZ:00000905")</f>
        <v>GAZ:00000905</v>
      </c>
      <c r="D1597" s="29" t="str">
        <f>IFERROR(__xludf.DUMMYFUNCTION("""COMPUTED_VALUE"""),"A landlocked nation in West Africa. It is surrounded by six countries: Mali to the north, Niger to the east, Benin to the south east, Togo and Ghana to the south, and Cote d'Ivoire to the south west. Burkina Faso is divided into thirteen regions, forty-fi"&amp;"ve provinces, and 301 departments (communes).")</f>
        <v>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v>
      </c>
      <c r="E1597" s="29"/>
      <c r="F1597" s="29"/>
      <c r="G1597" s="29"/>
      <c r="H1597" s="56" t="s">
        <v>19</v>
      </c>
      <c r="I1597" s="56" t="s">
        <v>19</v>
      </c>
      <c r="J1597" s="56" t="s">
        <v>19</v>
      </c>
      <c r="K1597" s="55" t="str">
        <f t="shared" si="78"/>
        <v>International</v>
      </c>
    </row>
    <row r="1598" hidden="1">
      <c r="A1598" s="29"/>
      <c r="B1598" s="29" t="str">
        <f>IFERROR(__xludf.DUMMYFUNCTION("""COMPUTED_VALUE"""),"Burundi [GAZ:00001090]                    ")</f>
        <v>Burundi [GAZ:00001090]                    </v>
      </c>
      <c r="C1598" s="29" t="str">
        <f>IFERROR(__xludf.DUMMYFUNCTION("""COMPUTED_VALUE"""),"GAZ:00001090")</f>
        <v>GAZ:00001090</v>
      </c>
      <c r="D1598" s="29" t="str">
        <f>IFERROR(__xludf.DUMMYFUNCTION("""COMPUTED_VALUE"""),"A small country in the Great Lakes region of Africa. It is bordered by Rwanda on the north, Tanzania on the south and east, and the Democratic Republic of the Congo on the west. Although the country is landlocked, much of its western border is adjacent to"&amp;" Lake Tanganyika. Burundi is divided into 17 provinces, 117 communes, and 2,638 collines.")</f>
        <v>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v>
      </c>
      <c r="E1598" s="29"/>
      <c r="F1598" s="29"/>
      <c r="G1598" s="29"/>
      <c r="H1598" s="56" t="s">
        <v>19</v>
      </c>
      <c r="I1598" s="56" t="s">
        <v>19</v>
      </c>
      <c r="J1598" s="56" t="s">
        <v>19</v>
      </c>
      <c r="K1598" s="55" t="str">
        <f t="shared" si="78"/>
        <v>International</v>
      </c>
    </row>
    <row r="1599" hidden="1">
      <c r="A1599" s="29"/>
      <c r="B1599" s="29" t="str">
        <f>IFERROR(__xludf.DUMMYFUNCTION("""COMPUTED_VALUE"""),"Cambodia [GAZ:00006888]                    ")</f>
        <v>Cambodia [GAZ:00006888]                    </v>
      </c>
      <c r="C1599" s="29" t="str">
        <f>IFERROR(__xludf.DUMMYFUNCTION("""COMPUTED_VALUE"""),"GAZ:00006888")</f>
        <v>GAZ:00006888</v>
      </c>
      <c r="D1599" s="29" t="str">
        <f>IFERROR(__xludf.DUMMYFUNCTION("""COMPUTED_VALUE"""),"A country in Southeast Asia. The country borders Thailand to its west and northwest, Laos to its northeast, and Vietnam to its east and southeast. In the south it faces the Gulf of Thailand.")</f>
        <v>A country in Southeast Asia. The country borders Thailand to its west and northwest, Laos to its northeast, and Vietnam to its east and southeast. In the south it faces the Gulf of Thailand.</v>
      </c>
      <c r="E1599" s="29"/>
      <c r="F1599" s="29"/>
      <c r="G1599" s="29"/>
      <c r="H1599" s="56" t="s">
        <v>19</v>
      </c>
      <c r="I1599" s="56" t="s">
        <v>19</v>
      </c>
      <c r="J1599" s="56" t="s">
        <v>19</v>
      </c>
      <c r="K1599" s="55" t="str">
        <f t="shared" si="78"/>
        <v>International</v>
      </c>
    </row>
    <row r="1600" hidden="1">
      <c r="A1600" s="29"/>
      <c r="B1600" s="29" t="str">
        <f>IFERROR(__xludf.DUMMYFUNCTION("""COMPUTED_VALUE"""),"Cameroon [GAZ:00001093]                    ")</f>
        <v>Cameroon [GAZ:00001093]                    </v>
      </c>
      <c r="C1600" s="29" t="str">
        <f>IFERROR(__xludf.DUMMYFUNCTION("""COMPUTED_VALUE"""),"GAZ:00001093")</f>
        <v>GAZ:00001093</v>
      </c>
      <c r="D1600" s="29" t="str">
        <f>IFERROR(__xludf.DUMMYFUNCTION("""COMPUTED_VALUE"""),"A country of central and western Africa. It borders Nigeria to the west; Chad to the northeast; the Central African Republic to the east; and Equatorial Guinea, Gabon, and the Republic of the Congo to the south. Cameroon's coastline lies on the Bight of B"&amp;"onny, part of the Gulf of Guinea and the Atlantic Ocean. The Republic of Cameroon is divided into ten provinces and 58 divisions or departments. The divisions are further sub-divided into sub-divisions (arrondissements) and districts.")</f>
        <v>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v>
      </c>
      <c r="E1600" s="29"/>
      <c r="F1600" s="29"/>
      <c r="G1600" s="29"/>
      <c r="H1600" s="56" t="s">
        <v>19</v>
      </c>
      <c r="I1600" s="56" t="s">
        <v>19</v>
      </c>
      <c r="J1600" s="56" t="s">
        <v>19</v>
      </c>
      <c r="K1600" s="55" t="str">
        <f t="shared" si="78"/>
        <v>International</v>
      </c>
    </row>
    <row r="1601" hidden="1">
      <c r="A1601" s="29"/>
      <c r="B1601" s="29" t="str">
        <f>IFERROR(__xludf.DUMMYFUNCTION("""COMPUTED_VALUE"""),"Canada [GAZ:00002560]                    ")</f>
        <v>Canada [GAZ:00002560]                    </v>
      </c>
      <c r="C1601" s="29" t="str">
        <f>IFERROR(__xludf.DUMMYFUNCTION("""COMPUTED_VALUE"""),"GAZ:00002560")</f>
        <v>GAZ:00002560</v>
      </c>
      <c r="D1601" s="29" t="str">
        <f>IFERROR(__xludf.DUMMYFUNCTION("""COMPUTED_VALUE"""),"A country occupying most of northern North America, extending from the Atlantic Ocean in the east to the Pacific Ocean in the west and northward into the Arctic Ocean. Canada is a federation composed of ten provinces and three territories; in turn, these "&amp;"may be grouped into regions. Western Canada consists of British Columbia and the three Prairie provinces (Alberta, Saskatchewan, and Manitoba). Central Canada consists of Quebec and Ontario. Atlantic Canada consists of the three Maritime provinces (New Br"&amp;"unswick, Prince Edward Island, and Nova Scotia), along with Newfoundland and Labrador. Eastern Canada refers to Central Canada and Atlantic Canada together. Three territories (Yukon, Northwest Territories, and Nunavut) make up Northern Canada.")</f>
        <v>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v>
      </c>
      <c r="E1601" s="29"/>
      <c r="F1601" s="29"/>
      <c r="G1601" s="29"/>
      <c r="H1601" s="56" t="s">
        <v>19</v>
      </c>
      <c r="I1601" s="56" t="s">
        <v>19</v>
      </c>
      <c r="J1601" s="56" t="s">
        <v>19</v>
      </c>
      <c r="K1601" s="55" t="str">
        <f t="shared" si="78"/>
        <v>International</v>
      </c>
    </row>
    <row r="1602" hidden="1">
      <c r="A1602" s="29"/>
      <c r="B1602" s="29" t="str">
        <f>IFERROR(__xludf.DUMMYFUNCTION("""COMPUTED_VALUE"""),"Cape Verde [GAZ:00001227]                    ")</f>
        <v>Cape Verde [GAZ:00001227]                    </v>
      </c>
      <c r="C1602" s="29" t="str">
        <f>IFERROR(__xludf.DUMMYFUNCTION("""COMPUTED_VALUE"""),"GAZ:00001227")</f>
        <v>GAZ:00001227</v>
      </c>
      <c r="D1602" s="29" t="str">
        <f>IFERROR(__xludf.DUMMYFUNCTION("""COMPUTED_VALUE"""),"A republic located on an archipelago in the Macaronesia ecoregion of the North Atlantic Ocean, off the western coast of Africa. Cape Verde is divided into 22 municipalities (concelhos), and subdivided into 32 parishes (freguesias).")</f>
        <v>A republic located on an archipelago in the Macaronesia ecoregion of the North Atlantic Ocean, off the western coast of Africa. Cape Verde is divided into 22 municipalities (concelhos), and subdivided into 32 parishes (freguesias).</v>
      </c>
      <c r="E1602" s="29"/>
      <c r="F1602" s="29"/>
      <c r="G1602" s="29"/>
      <c r="H1602" s="56" t="s">
        <v>19</v>
      </c>
      <c r="I1602" s="56" t="s">
        <v>19</v>
      </c>
      <c r="J1602" s="56" t="s">
        <v>19</v>
      </c>
      <c r="K1602" s="55" t="str">
        <f t="shared" si="78"/>
        <v>International</v>
      </c>
    </row>
    <row r="1603" hidden="1">
      <c r="A1603" s="29"/>
      <c r="B1603" s="29" t="str">
        <f>IFERROR(__xludf.DUMMYFUNCTION("""COMPUTED_VALUE"""),"Cayman Islands [GAZ:00003986]                    ")</f>
        <v>Cayman Islands [GAZ:00003986]                    </v>
      </c>
      <c r="C1603" s="29" t="str">
        <f>IFERROR(__xludf.DUMMYFUNCTION("""COMPUTED_VALUE"""),"GAZ:00003986")</f>
        <v>GAZ:00003986</v>
      </c>
      <c r="D1603" s="29" t="str">
        <f>IFERROR(__xludf.DUMMYFUNCTION("""COMPUTED_VALUE"""),"A British overseas territory located in the western Caribbean Sea, comprising the islands of Grand Cayman, Cayman Brac, and Little Cayman. The Cayman Islands are divided into seven districts.")</f>
        <v>A British overseas territory located in the western Caribbean Sea, comprising the islands of Grand Cayman, Cayman Brac, and Little Cayman. The Cayman Islands are divided into seven districts.</v>
      </c>
      <c r="E1603" s="29"/>
      <c r="F1603" s="29"/>
      <c r="G1603" s="29"/>
      <c r="H1603" s="56" t="s">
        <v>19</v>
      </c>
      <c r="I1603" s="56" t="s">
        <v>19</v>
      </c>
      <c r="J1603" s="56" t="s">
        <v>19</v>
      </c>
      <c r="K1603" s="55" t="str">
        <f t="shared" si="78"/>
        <v>International</v>
      </c>
    </row>
    <row r="1604" hidden="1">
      <c r="A1604" s="29"/>
      <c r="B1604" s="29" t="str">
        <f>IFERROR(__xludf.DUMMYFUNCTION("""COMPUTED_VALUE"""),"Central African Republic [GAZ:00001089]                    ")</f>
        <v>Central African Republic [GAZ:00001089]                    </v>
      </c>
      <c r="C1604" s="29" t="str">
        <f>IFERROR(__xludf.DUMMYFUNCTION("""COMPUTED_VALUE"""),"GAZ:00001089")</f>
        <v>GAZ:00001089</v>
      </c>
      <c r="D1604" s="29" t="str">
        <f>IFERROR(__xludf.DUMMYFUNCTION("""COMPUTED_VALUE"""),"A landlocked country in Central Africa. It borders Chad in the north, Sudan in the east, the Republic of the Congo and the Democratic Republic of the Congo in the south, and Cameroon in the west. The Central African Republic is divided into 14 administrat"&amp;"ive prefectures (prefectures), along with 2 economic prefectures (prefectures economiques) and one autonomous commune. The prefectures are further divided into 71 sub-prefectures (sous-prefectures).")</f>
        <v>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v>
      </c>
      <c r="E1604" s="29"/>
      <c r="F1604" s="29"/>
      <c r="G1604" s="29"/>
      <c r="H1604" s="56" t="s">
        <v>19</v>
      </c>
      <c r="I1604" s="56" t="s">
        <v>19</v>
      </c>
      <c r="J1604" s="56" t="s">
        <v>19</v>
      </c>
      <c r="K1604" s="55" t="str">
        <f t="shared" si="78"/>
        <v>International</v>
      </c>
    </row>
    <row r="1605" hidden="1">
      <c r="A1605" s="29"/>
      <c r="B1605" s="29" t="str">
        <f>IFERROR(__xludf.DUMMYFUNCTION("""COMPUTED_VALUE"""),"Chad [GAZ:00000586]                    ")</f>
        <v>Chad [GAZ:00000586]                    </v>
      </c>
      <c r="C1605" s="29" t="str">
        <f>IFERROR(__xludf.DUMMYFUNCTION("""COMPUTED_VALUE"""),"GAZ:00000586")</f>
        <v>GAZ:00000586</v>
      </c>
      <c r="D1605" s="29" t="str">
        <f>IFERROR(__xludf.DUMMYFUNCTION("""COMPUTED_VALUE"""),"A landlocked country in central Africa. It is bordered by Libya to the north, Sudan to the east, the Central African Republic to the south, Cameroon and Nigeria to the southwest, and Niger to the west. Chad is divided into 18 regions. The departments are "&amp;"divided into 200 sub-prefectures, which are in turn composed of 446 cantons. This is due to change.")</f>
        <v>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v>
      </c>
      <c r="E1605" s="29"/>
      <c r="F1605" s="29"/>
      <c r="G1605" s="29"/>
      <c r="H1605" s="56" t="s">
        <v>19</v>
      </c>
      <c r="I1605" s="56" t="s">
        <v>19</v>
      </c>
      <c r="J1605" s="56" t="s">
        <v>19</v>
      </c>
      <c r="K1605" s="55" t="str">
        <f t="shared" si="78"/>
        <v>International</v>
      </c>
    </row>
    <row r="1606" hidden="1">
      <c r="A1606" s="29"/>
      <c r="B1606" s="29" t="str">
        <f>IFERROR(__xludf.DUMMYFUNCTION("""COMPUTED_VALUE"""),"Chile [GAZ:00002825]                    ")</f>
        <v>Chile [GAZ:00002825]                    </v>
      </c>
      <c r="C1606" s="29" t="str">
        <f>IFERROR(__xludf.DUMMYFUNCTION("""COMPUTED_VALUE"""),"GAZ:00002825")</f>
        <v>GAZ:00002825</v>
      </c>
      <c r="D1606" s="29" t="str">
        <f>IFERROR(__xludf.DUMMYFUNCTION("""COMPUTED_VALUE"""),"A country in South America occupying a long and narrow coastal strip wedged between the Andes mountains and the Pacific Ocean. The Pacific forms the country's entire western border, with Peru to the north, Bolivia to the northeast, Argentina to the east, "&amp;"and the Drake Passage at the country's southernmost tip. Chile claims 1,250,000 km2 of territory in Antarctica. Chile is divided into 15 regions. Every region is further divided into provinces. Finally each province is divided into communes. Each region i"&amp;"s designated by a name and a Roman numeral, assigned from north to south. The only exception is the region housing the nation's capital, which is designated RM, that stands for Region Metropolitana (Metropolitan Region). Two new regions were created in 20"&amp;"06: Arica-Parinacota in the north, and Los Rios in the south. Both became operative in 2007-10.")</f>
        <v>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v>
      </c>
      <c r="E1606" s="29"/>
      <c r="F1606" s="29"/>
      <c r="G1606" s="29"/>
      <c r="H1606" s="56" t="s">
        <v>19</v>
      </c>
      <c r="I1606" s="56" t="s">
        <v>19</v>
      </c>
      <c r="J1606" s="56" t="s">
        <v>19</v>
      </c>
      <c r="K1606" s="55" t="str">
        <f t="shared" si="78"/>
        <v>International</v>
      </c>
    </row>
    <row r="1607" hidden="1">
      <c r="A1607" s="29"/>
      <c r="B1607" s="29" t="str">
        <f>IFERROR(__xludf.DUMMYFUNCTION("""COMPUTED_VALUE"""),"China [GAZ:00002845]                    ")</f>
        <v>China [GAZ:00002845]                    </v>
      </c>
      <c r="C1607" s="29" t="str">
        <f>IFERROR(__xludf.DUMMYFUNCTION("""COMPUTED_VALUE"""),"GAZ:00002845")</f>
        <v>GAZ:00002845</v>
      </c>
      <c r="D1607" s="29" t="str">
        <f>IFERROR(__xludf.DUMMYFUNCTION("""COMPUTED_VALUE"""),"A large country in Northeast Asia. China borders 14 nations (counted clockwise from south): Vietnam, Laos, Burma, India, Bhutan, Nepal, Pakistan, Afghanistan, Tajikistan, Kyrgyzstan, Kazakhstan, Russia, Mongolia and North Korea. Additionally the border be"&amp;"tween PRC and ROC is located in territorial waters. The People's Republic of China has administrative control over twenty-two provinces and considers Taiwan to be its twenty-third province. There are also five autonomous regions, each with a designated mi"&amp;"nority group; four municipalities; and two Special Administrative Regions that enjoy considerable autonomy. The People's Republic of China administers 33 province-level regions, 333 prefecture-level regions, 2,862 county-level regions, 41,636 township-lev"&amp;"el regions, and several village-level regions.")</f>
        <v>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v>
      </c>
      <c r="E1607" s="29"/>
      <c r="F1607" s="29"/>
      <c r="G1607" s="29"/>
      <c r="H1607" s="56" t="s">
        <v>19</v>
      </c>
      <c r="I1607" s="56" t="s">
        <v>19</v>
      </c>
      <c r="J1607" s="56" t="s">
        <v>19</v>
      </c>
      <c r="K1607" s="55" t="str">
        <f t="shared" si="78"/>
        <v>International</v>
      </c>
    </row>
    <row r="1608" hidden="1">
      <c r="A1608" s="29"/>
      <c r="B1608" s="29" t="str">
        <f>IFERROR(__xludf.DUMMYFUNCTION("""COMPUTED_VALUE"""),"Christmas Island [GAZ:00005915]                    ")</f>
        <v>Christmas Island [GAZ:00005915]                    </v>
      </c>
      <c r="C1608" s="29" t="str">
        <f>IFERROR(__xludf.DUMMYFUNCTION("""COMPUTED_VALUE"""),"GAZ:00005915")</f>
        <v>GAZ:00005915</v>
      </c>
      <c r="D1608" s="29" t="str">
        <f>IFERROR(__xludf.DUMMYFUNCTION("""COMPUTED_VALUE"""),"An island in the Indian Ocean, 500 km south of Indonesia and about 2600 km northwest of Perth. The island is the flat summit of a submarine mountain.")</f>
        <v>An island in the Indian Ocean, 500 km south of Indonesia and about 2600 km northwest of Perth. The island is the flat summit of a submarine mountain.</v>
      </c>
      <c r="E1608" s="29"/>
      <c r="F1608" s="29"/>
      <c r="G1608" s="29"/>
      <c r="H1608" s="56" t="s">
        <v>19</v>
      </c>
      <c r="I1608" s="56" t="s">
        <v>19</v>
      </c>
      <c r="J1608" s="56" t="s">
        <v>19</v>
      </c>
      <c r="K1608" s="55" t="str">
        <f t="shared" si="78"/>
        <v>International</v>
      </c>
    </row>
    <row r="1609" hidden="1">
      <c r="A1609" s="29"/>
      <c r="B1609" s="29" t="str">
        <f>IFERROR(__xludf.DUMMYFUNCTION("""COMPUTED_VALUE"""),"Clipperton Island [GAZ:00005838]                    ")</f>
        <v>Clipperton Island [GAZ:00005838]                    </v>
      </c>
      <c r="C1609" s="29" t="str">
        <f>IFERROR(__xludf.DUMMYFUNCTION("""COMPUTED_VALUE"""),"GAZ:00005838")</f>
        <v>GAZ:00005838</v>
      </c>
      <c r="D1609" s="29" t="str">
        <f>IFERROR(__xludf.DUMMYFUNCTION("""COMPUTED_VALUE"""),"A nine-square km coral atoll in the North Pacific Ocean, southwest of Mexico and west of Costa Rica.")</f>
        <v>A nine-square km coral atoll in the North Pacific Ocean, southwest of Mexico and west of Costa Rica.</v>
      </c>
      <c r="E1609" s="29"/>
      <c r="F1609" s="29"/>
      <c r="G1609" s="29"/>
      <c r="H1609" s="56" t="s">
        <v>19</v>
      </c>
      <c r="I1609" s="56" t="s">
        <v>19</v>
      </c>
      <c r="J1609" s="56" t="s">
        <v>19</v>
      </c>
      <c r="K1609" s="55" t="str">
        <f t="shared" si="78"/>
        <v>International</v>
      </c>
    </row>
    <row r="1610" hidden="1">
      <c r="A1610" s="29"/>
      <c r="B1610" s="29" t="str">
        <f>IFERROR(__xludf.DUMMYFUNCTION("""COMPUTED_VALUE"""),"Cocos Islands [GAZ:00009721]                    ")</f>
        <v>Cocos Islands [GAZ:00009721]                    </v>
      </c>
      <c r="C1610" s="29" t="str">
        <f>IFERROR(__xludf.DUMMYFUNCTION("""COMPUTED_VALUE"""),"GAZ:00009721")</f>
        <v>GAZ:00009721</v>
      </c>
      <c r="D1610" s="29" t="str">
        <f>IFERROR(__xludf.DUMMYFUNCTION("""COMPUTED_VALUE"""),"Islands that located in the Indian Ocean, about halfway between Australia and Sri Lanka. A territory of Australia. There are two atolls and twenty-seven coral islands in the group.")</f>
        <v>Islands that located in the Indian Ocean, about halfway between Australia and Sri Lanka. A territory of Australia. There are two atolls and twenty-seven coral islands in the group.</v>
      </c>
      <c r="E1610" s="29"/>
      <c r="F1610" s="29"/>
      <c r="G1610" s="29"/>
      <c r="H1610" s="56" t="s">
        <v>19</v>
      </c>
      <c r="I1610" s="56" t="s">
        <v>19</v>
      </c>
      <c r="J1610" s="56" t="s">
        <v>19</v>
      </c>
      <c r="K1610" s="55" t="str">
        <f t="shared" si="78"/>
        <v>International</v>
      </c>
    </row>
    <row r="1611" hidden="1">
      <c r="A1611" s="29"/>
      <c r="B1611" s="29" t="str">
        <f>IFERROR(__xludf.DUMMYFUNCTION("""COMPUTED_VALUE"""),"Colombia [GAZ:00002929]                    ")</f>
        <v>Colombia [GAZ:00002929]                    </v>
      </c>
      <c r="C1611" s="29" t="str">
        <f>IFERROR(__xludf.DUMMYFUNCTION("""COMPUTED_VALUE"""),"GAZ:00002929")</f>
        <v>GAZ:00002929</v>
      </c>
      <c r="D1611" s="29" t="str">
        <f>IFERROR(__xludf.DUMMYFUNCTION("""COMPUTED_VALUE"""),"A country located in the northwestern region of South America. Colombia is bordered to the east by Venezuela and Brazil; to the south by Ecuador and Peru; to the North by the Atlantic Ocean, through the Caribbean Sea; to the north-west by Panama; and to t"&amp;"he west by the Pacific Ocean. Besides the countries in South America, the Republic of Colombia is recognized to share maritime borders with the Caribbean countries of Jamaica, Haiti, the Dominican Republic and the Central American countries of Honduras, N"&amp;"icaragua, and Costa Rica. Colombia is divided into 32 departments and one capital district which is treated as a department. There are in total 10 districts assigned to cities in Colombia including Bogota, Barranquilla, Cartagena, Santa Marta, Tunja, Cucu"&amp;"ta, Popayan, Buenaventura, Tumaco and Turbo. Colombia is also subdivided into some municipalities which form departments, each with a municipal seat capital city assigned. Colombia is also subdivided into corregimientos which form municipalities.")</f>
        <v>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v>
      </c>
      <c r="E1611" s="29"/>
      <c r="F1611" s="29"/>
      <c r="G1611" s="29"/>
      <c r="H1611" s="56" t="s">
        <v>19</v>
      </c>
      <c r="I1611" s="56" t="s">
        <v>19</v>
      </c>
      <c r="J1611" s="56" t="s">
        <v>19</v>
      </c>
      <c r="K1611" s="55" t="str">
        <f t="shared" si="78"/>
        <v>International</v>
      </c>
    </row>
    <row r="1612" hidden="1">
      <c r="A1612" s="29"/>
      <c r="B1612" s="29" t="str">
        <f>IFERROR(__xludf.DUMMYFUNCTION("""COMPUTED_VALUE"""),"Comoros [GAZ:00005820]                    ")</f>
        <v>Comoros [GAZ:00005820]                    </v>
      </c>
      <c r="C1612" s="29" t="str">
        <f>IFERROR(__xludf.DUMMYFUNCTION("""COMPUTED_VALUE"""),"GAZ:00005820")</f>
        <v>GAZ:00005820</v>
      </c>
      <c r="D1612" s="29" t="str">
        <f>IFERROR(__xludf.DUMMYFUNCTION("""COMPUTED_VALUE"""),"An island nation in the Indian Ocean, located off the eastern coast of Africa on the northern end of the Mozambique Channel between northern Madagascar and northeastern Mozambique.")</f>
        <v>An island nation in the Indian Ocean, located off the eastern coast of Africa on the northern end of the Mozambique Channel between northern Madagascar and northeastern Mozambique.</v>
      </c>
      <c r="E1612" s="29"/>
      <c r="F1612" s="29"/>
      <c r="G1612" s="29"/>
      <c r="H1612" s="56" t="s">
        <v>19</v>
      </c>
      <c r="I1612" s="56" t="s">
        <v>19</v>
      </c>
      <c r="J1612" s="56" t="s">
        <v>19</v>
      </c>
      <c r="K1612" s="55" t="str">
        <f t="shared" si="78"/>
        <v>International</v>
      </c>
    </row>
    <row r="1613" hidden="1">
      <c r="A1613" s="29"/>
      <c r="B1613" s="29" t="str">
        <f>IFERROR(__xludf.DUMMYFUNCTION("""COMPUTED_VALUE"""),"Cook Islands [GAZ:00053798]                    ")</f>
        <v>Cook Islands [GAZ:00053798]                    </v>
      </c>
      <c r="C1613" s="29" t="str">
        <f>IFERROR(__xludf.DUMMYFUNCTION("""COMPUTED_VALUE"""),"GAZ:00053798")</f>
        <v>GAZ:00053798</v>
      </c>
      <c r="D1613" s="29" t="str">
        <f>IFERROR(__xludf.DUMMYFUNCTION("""COMPUTED_VALUE"""),"A self-governing parliamentary democracy in free association with New Zealand. The fifteen small islands in this South Pacific Ocean country have a total land area of 240 km2, but the Cook Islands Exclusive Economic Zone (EEZ) covers 1.8 million km2 of oc"&amp;"ean.")</f>
        <v>A self-governing parliamentary democracy in free association with New Zealand. The fifteen small islands in this South Pacific Ocean country have a total land area of 240 km2, but the Cook Islands Exclusive Economic Zone (EEZ) covers 1.8 million km2 of ocean.</v>
      </c>
      <c r="E1613" s="29"/>
      <c r="F1613" s="29"/>
      <c r="G1613" s="29"/>
      <c r="H1613" s="56" t="s">
        <v>19</v>
      </c>
      <c r="I1613" s="56" t="s">
        <v>19</v>
      </c>
      <c r="J1613" s="56" t="s">
        <v>19</v>
      </c>
      <c r="K1613" s="55" t="str">
        <f t="shared" si="78"/>
        <v>International</v>
      </c>
    </row>
    <row r="1614" hidden="1">
      <c r="A1614" s="29"/>
      <c r="B1614" s="29" t="str">
        <f>IFERROR(__xludf.DUMMYFUNCTION("""COMPUTED_VALUE"""),"Coral Sea Islands [GAZ:00005917]                    ")</f>
        <v>Coral Sea Islands [GAZ:00005917]                    </v>
      </c>
      <c r="C1614" s="29" t="str">
        <f>IFERROR(__xludf.DUMMYFUNCTION("""COMPUTED_VALUE"""),"GAZ:00005917")</f>
        <v>GAZ:00005917</v>
      </c>
      <c r="D1614" s="29" t="str">
        <f>IFERROR(__xludf.DUMMYFUNCTION("""COMPUTED_VALUE"""),"A Territory of Australia which includes a group of small and mostly uninhabited tropical islands and reefs in the Coral Sea, northeast of Queensland, Australia. The only inhabited island is Willis Island. The territory covers 780,000 km2, extending east a"&amp;"nd south from the outer edge of the Great Barrier Reef, and including Heralds Beacon Island, Osprey Reef, the Willis Group, and fifteen other reef/island groups.")</f>
        <v>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v>
      </c>
      <c r="E1614" s="29"/>
      <c r="F1614" s="29"/>
      <c r="G1614" s="29"/>
      <c r="H1614" s="56" t="s">
        <v>19</v>
      </c>
      <c r="I1614" s="56" t="s">
        <v>19</v>
      </c>
      <c r="J1614" s="56" t="s">
        <v>19</v>
      </c>
      <c r="K1614" s="55" t="str">
        <f t="shared" si="78"/>
        <v>International</v>
      </c>
    </row>
    <row r="1615" hidden="1">
      <c r="A1615" s="29"/>
      <c r="B1615" s="29" t="str">
        <f>IFERROR(__xludf.DUMMYFUNCTION("""COMPUTED_VALUE"""),"Costa Rica [GAZ:00002901]                    ")</f>
        <v>Costa Rica [GAZ:00002901]                    </v>
      </c>
      <c r="C1615" s="29" t="str">
        <f>IFERROR(__xludf.DUMMYFUNCTION("""COMPUTED_VALUE"""),"GAZ:00002901")</f>
        <v>GAZ:00002901</v>
      </c>
      <c r="D1615" s="29" t="str">
        <f>IFERROR(__xludf.DUMMYFUNCTION("""COMPUTED_VALUE"""),"A republic in Central America, bordered by Nicaragua to the north, Panama to the east-southeast, the Pacific Ocean to the west and south, and the Caribbean Sea to the east. Costa Rica is composed of seven provinces, which in turn are divided into 81 canto"&amp;"ns.")</f>
        <v>A republic in Central America, bordered by Nicaragua to the north, Panama to the east-southeast, the Pacific Ocean to the west and south, and the Caribbean Sea to the east. Costa Rica is composed of seven provinces, which in turn are divided into 81 cantons.</v>
      </c>
      <c r="E1615" s="29"/>
      <c r="F1615" s="29"/>
      <c r="G1615" s="29"/>
      <c r="H1615" s="56" t="s">
        <v>19</v>
      </c>
      <c r="I1615" s="56" t="s">
        <v>19</v>
      </c>
      <c r="J1615" s="56" t="s">
        <v>19</v>
      </c>
      <c r="K1615" s="55" t="str">
        <f t="shared" si="78"/>
        <v>International</v>
      </c>
    </row>
    <row r="1616" hidden="1">
      <c r="A1616" s="29"/>
      <c r="B1616" s="29" t="str">
        <f>IFERROR(__xludf.DUMMYFUNCTION("""COMPUTED_VALUE"""),"Cote d'Ivoire [GAZ:00000906]                    ")</f>
        <v>Cote d'Ivoire [GAZ:00000906]                    </v>
      </c>
      <c r="C1616" s="29" t="str">
        <f>IFERROR(__xludf.DUMMYFUNCTION("""COMPUTED_VALUE"""),"GAZ:00000906")</f>
        <v>GAZ:00000906</v>
      </c>
      <c r="D1616" s="29" t="str">
        <f>IFERROR(__xludf.DUMMYFUNCTION("""COMPUTED_VALUE"""),"A country in West Africa. It borders Liberia and Guinea to the west, Mali and Burkina Faso to the north, Ghana to the east, and the Gulf of Guinea to the south. Cote d'Ivoire is divided into nineteen regions (regions). The regions are further divided into"&amp;" 58 departments.")</f>
        <v>A country in West Africa. It borders Liberia and Guinea to the west, Mali and Burkina Faso to the north, Ghana to the east, and the Gulf of Guinea to the south. Cote d'Ivoire is divided into nineteen regions (regions). The regions are further divided into 58 departments.</v>
      </c>
      <c r="E1616" s="29"/>
      <c r="F1616" s="29"/>
      <c r="G1616" s="29"/>
      <c r="H1616" s="56" t="s">
        <v>19</v>
      </c>
      <c r="I1616" s="56" t="s">
        <v>19</v>
      </c>
      <c r="J1616" s="56" t="s">
        <v>19</v>
      </c>
      <c r="K1616" s="55" t="str">
        <f t="shared" si="78"/>
        <v>International</v>
      </c>
    </row>
    <row r="1617" hidden="1">
      <c r="A1617" s="29"/>
      <c r="B1617" s="29" t="str">
        <f>IFERROR(__xludf.DUMMYFUNCTION("""COMPUTED_VALUE"""),"Croatia [GAZ:00002719]                    ")</f>
        <v>Croatia [GAZ:00002719]                    </v>
      </c>
      <c r="C1617" s="29" t="str">
        <f>IFERROR(__xludf.DUMMYFUNCTION("""COMPUTED_VALUE"""),"GAZ:00002719")</f>
        <v>GAZ:00002719</v>
      </c>
      <c r="D1617" s="29" t="str">
        <f>IFERROR(__xludf.DUMMYFUNCTION("""COMPUTED_VALUE"""),"A country at the crossroads of the Mediterranean, Central Europe, and the Balkans. Its capital is Zagreb. Croatia borders with Slovenia and Hungary to the north, Serbia to the northeast, Bosnia and Herzegovina to the east, Montenegro to the far southeast,"&amp;" and the Adriatic Sea to the south. Croatia is divided into 21 counties (zupanija) and the capital Zagreb's city district.")</f>
        <v>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v>
      </c>
      <c r="E1617" s="29"/>
      <c r="F1617" s="29"/>
      <c r="G1617" s="29"/>
      <c r="H1617" s="56" t="s">
        <v>19</v>
      </c>
      <c r="I1617" s="56" t="s">
        <v>19</v>
      </c>
      <c r="J1617" s="56" t="s">
        <v>19</v>
      </c>
      <c r="K1617" s="55" t="str">
        <f t="shared" si="78"/>
        <v>International</v>
      </c>
    </row>
    <row r="1618" hidden="1">
      <c r="A1618" s="29"/>
      <c r="B1618" s="29" t="str">
        <f>IFERROR(__xludf.DUMMYFUNCTION("""COMPUTED_VALUE"""),"Cuba [GAZ:00003762]                    ")</f>
        <v>Cuba [GAZ:00003762]                    </v>
      </c>
      <c r="C1618" s="29" t="str">
        <f>IFERROR(__xludf.DUMMYFUNCTION("""COMPUTED_VALUE"""),"GAZ:00003762")</f>
        <v>GAZ:00003762</v>
      </c>
      <c r="D1618" s="29" t="str">
        <f>IFERROR(__xludf.DUMMYFUNCTION("""COMPUTED_VALUE"""),"A country that consists of the island of Cuba (the largest and second-most populous island of the Greater Antilles), Isla de la Juventud and several adjacent small islands. Fourteen provinces and one special municipality (the Isla de la Juventud) now comp"&amp;"ose Cuba.")</f>
        <v>A country that consists of the island of Cuba (the largest and second-most populous island of the Greater Antilles), Isla de la Juventud and several adjacent small islands. Fourteen provinces and one special municipality (the Isla de la Juventud) now compose Cuba.</v>
      </c>
      <c r="E1618" s="29"/>
      <c r="F1618" s="29"/>
      <c r="G1618" s="29"/>
      <c r="H1618" s="56" t="s">
        <v>19</v>
      </c>
      <c r="I1618" s="56" t="s">
        <v>19</v>
      </c>
      <c r="J1618" s="56" t="s">
        <v>19</v>
      </c>
      <c r="K1618" s="55" t="str">
        <f t="shared" si="78"/>
        <v>International</v>
      </c>
    </row>
    <row r="1619" hidden="1">
      <c r="A1619" s="29"/>
      <c r="B1619" s="29" t="str">
        <f>IFERROR(__xludf.DUMMYFUNCTION("""COMPUTED_VALUE"""),"Curacao [GAZ:00012582]                    ")</f>
        <v>Curacao [GAZ:00012582]                    </v>
      </c>
      <c r="C1619" s="29" t="str">
        <f>IFERROR(__xludf.DUMMYFUNCTION("""COMPUTED_VALUE"""),"GAZ:00012582")</f>
        <v>GAZ:00012582</v>
      </c>
      <c r="D1619" s="29" t="str">
        <f>IFERROR(__xludf.DUMMYFUNCTION("""COMPUTED_VALUE"""),"One of five island areas of the Netherlands Antilles.")</f>
        <v>One of five island areas of the Netherlands Antilles.</v>
      </c>
      <c r="E1619" s="29"/>
      <c r="F1619" s="29"/>
      <c r="G1619" s="29"/>
      <c r="H1619" s="56" t="s">
        <v>19</v>
      </c>
      <c r="I1619" s="56" t="s">
        <v>19</v>
      </c>
      <c r="J1619" s="56" t="s">
        <v>19</v>
      </c>
      <c r="K1619" s="55" t="str">
        <f t="shared" si="78"/>
        <v>International</v>
      </c>
    </row>
    <row r="1620" hidden="1">
      <c r="A1620" s="29"/>
      <c r="B1620" s="29" t="str">
        <f>IFERROR(__xludf.DUMMYFUNCTION("""COMPUTED_VALUE"""),"Cyprus [GAZ:00004006]                    ")</f>
        <v>Cyprus [GAZ:00004006]                    </v>
      </c>
      <c r="C1620" s="29" t="str">
        <f>IFERROR(__xludf.DUMMYFUNCTION("""COMPUTED_VALUE"""),"GAZ:00004006")</f>
        <v>GAZ:00004006</v>
      </c>
      <c r="D1620" s="29" t="str">
        <f>IFERROR(__xludf.DUMMYFUNCTION("""COMPUTED_VALUE"""),"The third largest island in the Mediterranean Sea (after Sicily and Sardinia), Cyprus is situated in the eastern Mediterranean, just south of the Anatolian peninsula (or Asia Minor) of the Asian mainland; thus, it is often included in the Middle East (see"&amp;" also Western Asia and Near East). Turkey is 75 km north; other neighbouring countries include Syria and Lebanon to the east, Israel to the southeast, Egypt to the south, and Greece to the west-north-west.")</f>
        <v>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v>
      </c>
      <c r="E1620" s="29"/>
      <c r="F1620" s="29"/>
      <c r="G1620" s="29"/>
      <c r="H1620" s="56" t="s">
        <v>19</v>
      </c>
      <c r="I1620" s="56" t="s">
        <v>19</v>
      </c>
      <c r="J1620" s="56" t="s">
        <v>19</v>
      </c>
      <c r="K1620" s="55" t="str">
        <f t="shared" si="78"/>
        <v>International</v>
      </c>
    </row>
    <row r="1621" hidden="1">
      <c r="A1621" s="29"/>
      <c r="B1621" s="29" t="str">
        <f>IFERROR(__xludf.DUMMYFUNCTION("""COMPUTED_VALUE"""),"Czech Republic [GAZ:00002954]                    ")</f>
        <v>Czech Republic [GAZ:00002954]                    </v>
      </c>
      <c r="C1621" s="29" t="str">
        <f>IFERROR(__xludf.DUMMYFUNCTION("""COMPUTED_VALUE"""),"GAZ:00002954")</f>
        <v>GAZ:00002954</v>
      </c>
      <c r="D1621" s="29" t="str">
        <f>IFERROR(__xludf.DUMMYFUNCTION("""COMPUTED_VALUE"""),"A landlocked country in Central Europe. It has borders with Poland to the north, Germany to the northwest and southwest, Austria to the south, and Slovakia to the east. The capital and largest city is Prague. The country is composed of the historic region"&amp;"s of Bohemia and Moravia, as well as parts of Silesia. Since 2000, the Czech Republic is divided into thirteen regions (kraje, singular kraj) and the capital city of Prague. The older seventy-six districts (okresy, singular okres) including three 'statuto"&amp;"ry cities' (without Prague, which had special status) were disbanded in 1999 in an administrative reform; they remain as territorial division and seats of various branches of state administration. Since 2003-01-01, the regions have been divided into aroun"&amp;"d 203 Municipalities with Extended Competence (unofficially named ""Little Districts"" (Czech: 'male okresy') which took over most of the administration of the former District Authorities. Some of these are further divided into Municipalities with Commiss"&amp;"ioned Local Authority. However, the old districts still exist as territorial units and remain as seats of some of the offices.")</f>
        <v>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v>
      </c>
      <c r="E1621" s="29"/>
      <c r="F1621" s="29"/>
      <c r="G1621" s="29"/>
      <c r="H1621" s="56" t="s">
        <v>19</v>
      </c>
      <c r="I1621" s="56" t="s">
        <v>19</v>
      </c>
      <c r="J1621" s="56" t="s">
        <v>19</v>
      </c>
      <c r="K1621" s="55" t="str">
        <f t="shared" si="78"/>
        <v>International</v>
      </c>
    </row>
    <row r="1622" hidden="1">
      <c r="A1622" s="29"/>
      <c r="B1622" s="29" t="str">
        <f>IFERROR(__xludf.DUMMYFUNCTION("""COMPUTED_VALUE"""),"Democratic Republic of the Congo [GAZ:00001086]                    ")</f>
        <v>Democratic Republic of the Congo [GAZ:00001086]                    </v>
      </c>
      <c r="C1622" s="29" t="str">
        <f>IFERROR(__xludf.DUMMYFUNCTION("""COMPUTED_VALUE"""),"GAZ:00001086")</f>
        <v>GAZ:00001086</v>
      </c>
      <c r="D1622" s="29" t="str">
        <f>IFERROR(__xludf.DUMMYFUNCTION("""COMPUTED_VALUE"""),"A country of central Africa. It borders the Central African Republic and Sudan on the north, Uganda, Rwanda, and Burundi on the east, Zambia and Angola on the south, the Republic of the Congo on the west, and is separated from Tanzania by Lake Tanganyika "&amp;"on the east. The country enjoys access to the ocean through a 40 km stretch of Atlantic coastline at Muanda and the roughly 9 km wide mouth of the Congo river which opens into the Gulf of Guinea. Congo Kinshasa is now divided into 11 Provinces, to be redi"&amp;"stributed into 25 Provinces from 2.2009. Each Province is divided into Zones.")</f>
        <v>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v>
      </c>
      <c r="E1622" s="29"/>
      <c r="F1622" s="29"/>
      <c r="G1622" s="29"/>
      <c r="H1622" s="56" t="s">
        <v>19</v>
      </c>
      <c r="I1622" s="56" t="s">
        <v>19</v>
      </c>
      <c r="J1622" s="56" t="s">
        <v>19</v>
      </c>
      <c r="K1622" s="55" t="str">
        <f t="shared" si="78"/>
        <v>International</v>
      </c>
    </row>
    <row r="1623" hidden="1">
      <c r="A1623" s="29"/>
      <c r="B1623" s="29" t="str">
        <f>IFERROR(__xludf.DUMMYFUNCTION("""COMPUTED_VALUE"""),"Denmark [GAZ:00005852]                    ")</f>
        <v>Denmark [GAZ:00005852]                    </v>
      </c>
      <c r="C1623" s="29" t="str">
        <f>IFERROR(__xludf.DUMMYFUNCTION("""COMPUTED_VALUE"""),"GAZ:00005852")</f>
        <v>GAZ:00005852</v>
      </c>
      <c r="D1623" s="29" t="str">
        <f>IFERROR(__xludf.DUMMYFUNCTION("""COMPUTED_VALUE"""),"That part of the Kingdom of Denmark located in continental Europe. The mainland is bordered to the south by Germany; Denmark is located to the southwest of Sweden and the south of Norway. Denmark borders both the Baltic and the North Sea. The country cons"&amp;"ists of a large peninsula, Jutland (Jylland) and a large number of islands, most notably Zealand (Sjaelland), Funen (Fyn), Vendsyssel-Thy, Lolland, Falster and Bornholm as well as hundreds of minor islands often referred to as the Danish Archipelago.")</f>
        <v>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v>
      </c>
      <c r="E1623" s="29"/>
      <c r="F1623" s="29"/>
      <c r="G1623" s="29"/>
      <c r="H1623" s="56" t="s">
        <v>19</v>
      </c>
      <c r="I1623" s="56" t="s">
        <v>19</v>
      </c>
      <c r="J1623" s="56" t="s">
        <v>19</v>
      </c>
      <c r="K1623" s="55" t="str">
        <f t="shared" si="78"/>
        <v>International</v>
      </c>
    </row>
    <row r="1624" hidden="1">
      <c r="A1624" s="29"/>
      <c r="B1624" s="29" t="str">
        <f>IFERROR(__xludf.DUMMYFUNCTION("""COMPUTED_VALUE"""),"Djibouti [GAZ:00000582]                    ")</f>
        <v>Djibouti [GAZ:00000582]                    </v>
      </c>
      <c r="C1624" s="29" t="str">
        <f>IFERROR(__xludf.DUMMYFUNCTION("""COMPUTED_VALUE"""),"GAZ:00000582")</f>
        <v>GAZ:00000582</v>
      </c>
      <c r="D1624" s="29" t="str">
        <f>IFERROR(__xludf.DUMMYFUNCTION("""COMPUTED_VALUE"""),"A country in eastern Africa. Djibouti is bordered by Eritrea in the north, Ethiopia in the west and south, and Somalia in the southeast. The remainder of the border is formed by the Red Sea and the Gulf of Aden. On the other side of the Red Sea, on the Ar"&amp;"abian Peninsula, 20 km from the coast of Djibouti, is Yemen. The capital of Djibouti is the city of Djibouti. Djibouti is divided into 5 regions and one city. It is further subdivided into 11 districts.")</f>
        <v>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v>
      </c>
      <c r="E1624" s="29"/>
      <c r="F1624" s="29"/>
      <c r="G1624" s="29"/>
      <c r="H1624" s="56" t="s">
        <v>19</v>
      </c>
      <c r="I1624" s="56" t="s">
        <v>19</v>
      </c>
      <c r="J1624" s="56" t="s">
        <v>19</v>
      </c>
      <c r="K1624" s="55" t="str">
        <f t="shared" si="78"/>
        <v>International</v>
      </c>
    </row>
    <row r="1625" hidden="1">
      <c r="A1625" s="29"/>
      <c r="B1625" s="29" t="str">
        <f>IFERROR(__xludf.DUMMYFUNCTION("""COMPUTED_VALUE"""),"Dominica [GAZ:00006890]                    ")</f>
        <v>Dominica [GAZ:00006890]                    </v>
      </c>
      <c r="C1625" s="29" t="str">
        <f>IFERROR(__xludf.DUMMYFUNCTION("""COMPUTED_VALUE"""),"GAZ:00006890")</f>
        <v>GAZ:00006890</v>
      </c>
      <c r="D1625" s="29" t="str">
        <f>IFERROR(__xludf.DUMMYFUNCTION("""COMPUTED_VALUE"""),"An island nation in the Caribbean Sea. Dominica is divided into ten parishes.")</f>
        <v>An island nation in the Caribbean Sea. Dominica is divided into ten parishes.</v>
      </c>
      <c r="E1625" s="29"/>
      <c r="F1625" s="29"/>
      <c r="G1625" s="29"/>
      <c r="H1625" s="56" t="s">
        <v>19</v>
      </c>
      <c r="I1625" s="56" t="s">
        <v>19</v>
      </c>
      <c r="J1625" s="56" t="s">
        <v>19</v>
      </c>
      <c r="K1625" s="55" t="str">
        <f t="shared" si="78"/>
        <v>International</v>
      </c>
    </row>
    <row r="1626" hidden="1">
      <c r="A1626" s="29"/>
      <c r="B1626" s="29" t="str">
        <f>IFERROR(__xludf.DUMMYFUNCTION("""COMPUTED_VALUE"""),"Dominican Republic [GAZ:00003952]                    ")</f>
        <v>Dominican Republic [GAZ:00003952]                    </v>
      </c>
      <c r="C1626" s="29" t="str">
        <f>IFERROR(__xludf.DUMMYFUNCTION("""COMPUTED_VALUE"""),"GAZ:00003952")</f>
        <v>GAZ:00003952</v>
      </c>
      <c r="D1626" s="29" t="str">
        <f>IFERROR(__xludf.DUMMYFUNCTION("""COMPUTED_VALUE"""),"A country in the West Indies that occupies the E two-thirds of the Hispaniola island. The Dominican Republic's shores are washed by the Atlantic Ocean to the north and the Caribbean Sea to the south. The Mona Passage, a channel about 130 km wide, separate"&amp;"s the country (and the Hispaniola) from Puerto Rico. The Dominican Republic is divided into 31 provinces. Additionally, the national capital, Santo Domingo, is contained within its own Distrito Nacional (National District). The provinces are divided into "&amp;"municipalities (municipios; singular municipio).")</f>
        <v>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v>
      </c>
      <c r="E1626" s="29"/>
      <c r="F1626" s="29"/>
      <c r="G1626" s="29"/>
      <c r="H1626" s="56" t="s">
        <v>19</v>
      </c>
      <c r="I1626" s="56" t="s">
        <v>19</v>
      </c>
      <c r="J1626" s="56" t="s">
        <v>19</v>
      </c>
      <c r="K1626" s="55" t="str">
        <f t="shared" si="78"/>
        <v>International</v>
      </c>
    </row>
    <row r="1627" hidden="1">
      <c r="A1627" s="29"/>
      <c r="B1627" s="29" t="str">
        <f>IFERROR(__xludf.DUMMYFUNCTION("""COMPUTED_VALUE"""),"Ecuador [GAZ:00002912]                    ")</f>
        <v>Ecuador [GAZ:00002912]                    </v>
      </c>
      <c r="C1627" s="29" t="str">
        <f>IFERROR(__xludf.DUMMYFUNCTION("""COMPUTED_VALUE"""),"GAZ:00002912")</f>
        <v>GAZ:00002912</v>
      </c>
      <c r="D1627" s="29" t="str">
        <f>IFERROR(__xludf.DUMMYFUNCTION("""COMPUTED_VALUE"""),"A country in South America, bordered by Colombia on the north, by Peru on the east and south, and by the Pacific Ocean to the west. The country also includes the Galapagos Islands (Archipelago de Colon) in the Pacific, about 965 km west of the mainland. E"&amp;"cuador is divided into 24 provinces, divided into 199 cantons and subdivided into parishes (or parroquias).")</f>
        <v>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v>
      </c>
      <c r="E1627" s="29"/>
      <c r="F1627" s="29"/>
      <c r="G1627" s="29"/>
      <c r="H1627" s="56" t="s">
        <v>19</v>
      </c>
      <c r="I1627" s="56" t="s">
        <v>19</v>
      </c>
      <c r="J1627" s="56" t="s">
        <v>19</v>
      </c>
      <c r="K1627" s="55" t="str">
        <f t="shared" si="78"/>
        <v>International</v>
      </c>
    </row>
    <row r="1628" hidden="1">
      <c r="A1628" s="29"/>
      <c r="B1628" s="29" t="str">
        <f>IFERROR(__xludf.DUMMYFUNCTION("""COMPUTED_VALUE"""),"Egypt [GAZ:00003934]                    ")</f>
        <v>Egypt [GAZ:00003934]                    </v>
      </c>
      <c r="C1628" s="29" t="str">
        <f>IFERROR(__xludf.DUMMYFUNCTION("""COMPUTED_VALUE"""),"GAZ:00003934")</f>
        <v>GAZ:00003934</v>
      </c>
      <c r="D1628" s="29" t="str">
        <f>IFERROR(__xludf.DUMMYFUNCTION("""COMPUTED_VALUE"""),"A country in North Africa that includes the Sinai Peninsula, a land bridge to Asia. Egypt borders Libya to the west, Sudan to the south, and the Gaza Strip and Israel to the east. The northern coast borders the Mediterranean Sea and the island of Cyprus; "&amp;"the eastern coast borders the Red Sea. Egypt is divided into 26 governorates (in Arabic, called muhafazat, singular muhafazah). The governorates are further divided into regions (markazes).")</f>
        <v>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v>
      </c>
      <c r="E1628" s="29"/>
      <c r="F1628" s="29"/>
      <c r="G1628" s="29"/>
      <c r="H1628" s="56" t="s">
        <v>19</v>
      </c>
      <c r="I1628" s="56" t="s">
        <v>19</v>
      </c>
      <c r="J1628" s="56" t="s">
        <v>19</v>
      </c>
      <c r="K1628" s="55" t="str">
        <f t="shared" si="78"/>
        <v>International</v>
      </c>
    </row>
    <row r="1629" hidden="1">
      <c r="A1629" s="29"/>
      <c r="B1629" s="29" t="str">
        <f>IFERROR(__xludf.DUMMYFUNCTION("""COMPUTED_VALUE"""),"El Salvador [GAZ:00002935]                    ")</f>
        <v>El Salvador [GAZ:00002935]                    </v>
      </c>
      <c r="C1629" s="29" t="str">
        <f>IFERROR(__xludf.DUMMYFUNCTION("""COMPUTED_VALUE"""),"GAZ:00002935")</f>
        <v>GAZ:00002935</v>
      </c>
      <c r="D1629" s="29" t="str">
        <f>IFERROR(__xludf.DUMMYFUNCTION("""COMPUTED_VALUE"""),"A country in Central America, bordering the Pacific Ocean between Guatemala and Honduras. El Salvador is divided into 14 departments (departamentos), which, in turn, are subdivided into 267 municipalities (municipios).")</f>
        <v>A country in Central America, bordering the Pacific Ocean between Guatemala and Honduras. El Salvador is divided into 14 departments (departamentos), which, in turn, are subdivided into 267 municipalities (municipios).</v>
      </c>
      <c r="E1629" s="29"/>
      <c r="F1629" s="29"/>
      <c r="G1629" s="29"/>
      <c r="H1629" s="56" t="s">
        <v>19</v>
      </c>
      <c r="I1629" s="56" t="s">
        <v>19</v>
      </c>
      <c r="J1629" s="56" t="s">
        <v>19</v>
      </c>
      <c r="K1629" s="55" t="str">
        <f t="shared" si="78"/>
        <v>International</v>
      </c>
    </row>
    <row r="1630" hidden="1">
      <c r="A1630" s="29"/>
      <c r="B1630" s="29" t="str">
        <f>IFERROR(__xludf.DUMMYFUNCTION("""COMPUTED_VALUE"""),"Equatorial Guinea [GAZ:00001091]                    ")</f>
        <v>Equatorial Guinea [GAZ:00001091]                    </v>
      </c>
      <c r="C1630" s="29" t="str">
        <f>IFERROR(__xludf.DUMMYFUNCTION("""COMPUTED_VALUE"""),"GAZ:00001091")</f>
        <v>GAZ:00001091</v>
      </c>
      <c r="D1630" s="29" t="str">
        <f>IFERROR(__xludf.DUMMYFUNCTION("""COMPUTED_VALUE"""),"A country in Central Africa. It is one of the smallest countries in continental Africa, and comprises two regions: Rio Muni, continental region including several offshore islands; and Insular Region containing Annobon island in the South Atlantic Ocean, a"&amp;"nd Bioko island (formerly Fernando Po) that contains the capital, Malabo. Equatorial Guinea is divided into seven provinces which are divided into districts.")</f>
        <v>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v>
      </c>
      <c r="E1630" s="29"/>
      <c r="F1630" s="29"/>
      <c r="G1630" s="29"/>
      <c r="H1630" s="56" t="s">
        <v>19</v>
      </c>
      <c r="I1630" s="56" t="s">
        <v>19</v>
      </c>
      <c r="J1630" s="56" t="s">
        <v>19</v>
      </c>
      <c r="K1630" s="55" t="str">
        <f t="shared" si="78"/>
        <v>International</v>
      </c>
    </row>
    <row r="1631" hidden="1">
      <c r="A1631" s="29"/>
      <c r="B1631" s="29" t="str">
        <f>IFERROR(__xludf.DUMMYFUNCTION("""COMPUTED_VALUE"""),"Eritrea [GAZ:00000581]                    ")</f>
        <v>Eritrea [GAZ:00000581]                    </v>
      </c>
      <c r="C1631" s="29" t="str">
        <f>IFERROR(__xludf.DUMMYFUNCTION("""COMPUTED_VALUE"""),"GAZ:00000581")</f>
        <v>GAZ:00000581</v>
      </c>
      <c r="D1631" s="29" t="str">
        <f>IFERROR(__xludf.DUMMYFUNCTION("""COMPUTED_VALUE"""),"A country situated in northern East Africa. It is bordered by Sudan in the west, Ethiopia in the south, and Djibouti in the southeast. The east and northeast of the country have an extensive coastline on the Red Sea, directly across from Saudi Arabia and "&amp;"Yemen. The Dahlak Archipelago and several of the Hanish Islands are part of Eritrea. Eritrea is divided into six regions (zobas) and subdivided into districts (""sub-zobas"").")</f>
        <v>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v>
      </c>
      <c r="E1631" s="29"/>
      <c r="F1631" s="29"/>
      <c r="G1631" s="29"/>
      <c r="H1631" s="56" t="s">
        <v>19</v>
      </c>
      <c r="I1631" s="56" t="s">
        <v>19</v>
      </c>
      <c r="J1631" s="56" t="s">
        <v>19</v>
      </c>
      <c r="K1631" s="55" t="str">
        <f t="shared" si="78"/>
        <v>International</v>
      </c>
    </row>
    <row r="1632" hidden="1">
      <c r="A1632" s="29"/>
      <c r="B1632" s="29" t="str">
        <f>IFERROR(__xludf.DUMMYFUNCTION("""COMPUTED_VALUE"""),"Estonia [GAZ:00002959]                    ")</f>
        <v>Estonia [GAZ:00002959]                    </v>
      </c>
      <c r="C1632" s="29" t="str">
        <f>IFERROR(__xludf.DUMMYFUNCTION("""COMPUTED_VALUE"""),"GAZ:00002959")</f>
        <v>GAZ:00002959</v>
      </c>
      <c r="D1632" s="29" t="str">
        <f>IFERROR(__xludf.DUMMYFUNCTION("""COMPUTED_VALUE"""),"A country in Northern Europe. Estonia has land borders to the south with Latvia and to the east with Russia. It is separated from Finland in the north by the Gulf of Finland and from Sweden in the west by the Baltic Sea. Estonia is divided into 15 countie"&amp;"s. (maakonnad; sing. - maakond). Estonian counties are divided into rural (vallad, singular vald) and urban (linnad, singular linn; alevid, singular alev; alevikud, singular alevik) municipalities. The municipalities comprise populated places (asula or as"&amp;"ustusuksus) - various settlements and territorial units that have no administrative function. A group of populated places form a rural municipality with local administration. Most towns constitute separate urban municipalities, while some have joined with"&amp;" surrounding rural municipalities.")</f>
        <v>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v>
      </c>
      <c r="E1632" s="29"/>
      <c r="F1632" s="29"/>
      <c r="G1632" s="29"/>
      <c r="H1632" s="56" t="s">
        <v>19</v>
      </c>
      <c r="I1632" s="56" t="s">
        <v>19</v>
      </c>
      <c r="J1632" s="56" t="s">
        <v>19</v>
      </c>
      <c r="K1632" s="55" t="str">
        <f t="shared" si="78"/>
        <v>International</v>
      </c>
    </row>
    <row r="1633" hidden="1">
      <c r="A1633" s="29"/>
      <c r="B1633" s="29" t="str">
        <f>IFERROR(__xludf.DUMMYFUNCTION("""COMPUTED_VALUE"""),"Eswatini [GAZ:00001099]                    ")</f>
        <v>Eswatini [GAZ:00001099]                    </v>
      </c>
      <c r="C1633" s="29" t="str">
        <f>IFERROR(__xludf.DUMMYFUNCTION("""COMPUTED_VALUE"""),"GAZ:00001099")</f>
        <v>GAZ:00001099</v>
      </c>
      <c r="D1633"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E1633" s="29"/>
      <c r="F1633" s="29"/>
      <c r="G1633" s="29"/>
      <c r="H1633" s="56" t="s">
        <v>19</v>
      </c>
      <c r="I1633" s="56" t="s">
        <v>19</v>
      </c>
      <c r="J1633" s="56" t="s">
        <v>19</v>
      </c>
      <c r="K1633" s="55" t="str">
        <f t="shared" si="78"/>
        <v>International</v>
      </c>
    </row>
    <row r="1634" hidden="1">
      <c r="A1634" s="29"/>
      <c r="B1634" s="29" t="str">
        <f>IFERROR(__xludf.DUMMYFUNCTION("""COMPUTED_VALUE"""),"Ethiopia [GAZ:00000567]                    ")</f>
        <v>Ethiopia [GAZ:00000567]                    </v>
      </c>
      <c r="C1634" s="29" t="str">
        <f>IFERROR(__xludf.DUMMYFUNCTION("""COMPUTED_VALUE"""),"GAZ:00000567")</f>
        <v>GAZ:00000567</v>
      </c>
      <c r="D1634" s="29" t="str">
        <f>IFERROR(__xludf.DUMMYFUNCTION("""COMPUTED_VALUE"""),"A country situated in the Horn of Africa that has been landlocked since the independence of its northern neighbor Eritrea in 1993. Apart from Eritrea to the north, Ethiopia is bordered by Sudan to the west, Kenya to the south, Djibouti to the northeast, a"&amp;"nd Somalia to the east. Since 1996 Ethiopia has had a tiered government system consisting of a federal government overseeing ethnically-based regional states, zones, districts (woredas), and neighborhoods (kebele). It is divided into nine ethnically-based"&amp;" administrative states (kililoch, singular kilil) and subdivided into sixty-eight zones and two chartered cities (astedader akababiwoch, singular astedader akababi): Addis Ababa and Dire Dawa. It is further subdivided into 550 woredas and six special wore"&amp;"das.")</f>
        <v>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v>
      </c>
      <c r="E1634" s="29"/>
      <c r="F1634" s="29"/>
      <c r="G1634" s="29"/>
      <c r="H1634" s="56" t="s">
        <v>19</v>
      </c>
      <c r="I1634" s="56" t="s">
        <v>19</v>
      </c>
      <c r="J1634" s="56" t="s">
        <v>19</v>
      </c>
      <c r="K1634" s="55" t="str">
        <f t="shared" si="78"/>
        <v>International</v>
      </c>
    </row>
    <row r="1635" hidden="1">
      <c r="A1635" s="29"/>
      <c r="B1635" s="29" t="str">
        <f>IFERROR(__xludf.DUMMYFUNCTION("""COMPUTED_VALUE"""),"Europa Island [GAZ:00005811]                    ")</f>
        <v>Europa Island [GAZ:00005811]                    </v>
      </c>
      <c r="C1635" s="29" t="str">
        <f>IFERROR(__xludf.DUMMYFUNCTION("""COMPUTED_VALUE"""),"GAZ:00005811")</f>
        <v>GAZ:00005811</v>
      </c>
      <c r="D1635" s="29" t="str">
        <f>IFERROR(__xludf.DUMMYFUNCTION("""COMPUTED_VALUE"""),"A 28 km2 low-lying tropical island in the Mozambique Channel, about a third of the way from southern Madagascar to southern Mozambique.")</f>
        <v>A 28 km2 low-lying tropical island in the Mozambique Channel, about a third of the way from southern Madagascar to southern Mozambique.</v>
      </c>
      <c r="E1635" s="29"/>
      <c r="F1635" s="29"/>
      <c r="G1635" s="29"/>
      <c r="H1635" s="56" t="s">
        <v>19</v>
      </c>
      <c r="I1635" s="56" t="s">
        <v>19</v>
      </c>
      <c r="J1635" s="56" t="s">
        <v>19</v>
      </c>
      <c r="K1635" s="55" t="str">
        <f t="shared" si="78"/>
        <v>International</v>
      </c>
    </row>
    <row r="1636" hidden="1">
      <c r="A1636" s="29"/>
      <c r="B1636" s="29" t="str">
        <f>IFERROR(__xludf.DUMMYFUNCTION("""COMPUTED_VALUE"""),"Falkland Islands (Islas Malvinas) [GAZ:00001412]                    ")</f>
        <v>Falkland Islands (Islas Malvinas) [GAZ:00001412]                    </v>
      </c>
      <c r="C1636" s="29" t="str">
        <f>IFERROR(__xludf.DUMMYFUNCTION("""COMPUTED_VALUE"""),"GAZ:00001412")</f>
        <v>GAZ:00001412</v>
      </c>
      <c r="D1636" s="29" t="str">
        <f>IFERROR(__xludf.DUMMYFUNCTION("""COMPUTED_VALUE"""),"An archipelago in the South Atlantic Ocean, located 483 km from the coast of Argentina, 1,080 km west of the Shag Rocks (South Georgia), and 940 km north of Antarctica (Elephant Island). They consist of two main islands, East Falkland and West Falkland, t"&amp;"ogether with 776 smaller islands.")</f>
        <v>An archipelago in the South Atlantic Ocean, located 483 km from the coast of Argentina, 1,080 km west of the Shag Rocks (South Georgia), and 940 km north of Antarctica (Elephant Island). They consist of two main islands, East Falkland and West Falkland, together with 776 smaller islands.</v>
      </c>
      <c r="E1636" s="29"/>
      <c r="F1636" s="29"/>
      <c r="G1636" s="29"/>
      <c r="H1636" s="56" t="s">
        <v>19</v>
      </c>
      <c r="I1636" s="56" t="s">
        <v>19</v>
      </c>
      <c r="J1636" s="56" t="s">
        <v>19</v>
      </c>
      <c r="K1636" s="55" t="str">
        <f t="shared" si="78"/>
        <v>International</v>
      </c>
    </row>
    <row r="1637" hidden="1">
      <c r="A1637" s="34"/>
      <c r="B1637" s="34" t="str">
        <f>IFERROR(__xludf.DUMMYFUNCTION("""COMPUTED_VALUE"""),"Faroe Islands [GAZ:00059206]                    ")</f>
        <v>Faroe Islands [GAZ:00059206]                    </v>
      </c>
      <c r="C1637" s="34" t="str">
        <f>IFERROR(__xludf.DUMMYFUNCTION("""COMPUTED_VALUE"""),"GAZ:00059206")</f>
        <v>GAZ:00059206</v>
      </c>
      <c r="D1637" s="29" t="str">
        <f>IFERROR(__xludf.DUMMYFUNCTION("""COMPUTED_VALUE"""),"An autonomous province of the Kingdom of Denmark since 1948 located in the Faroes. Administratively, the islands are divided into 34 municipalities (kommunur) within which 120 or so cities and villages lie.")</f>
        <v>An autonomous province of the Kingdom of Denmark since 1948 located in the Faroes. Administratively, the islands are divided into 34 municipalities (kommunur) within which 120 or so cities and villages lie.</v>
      </c>
      <c r="H1637" s="56" t="s">
        <v>19</v>
      </c>
      <c r="I1637" s="56" t="s">
        <v>19</v>
      </c>
      <c r="J1637" s="56" t="s">
        <v>19</v>
      </c>
      <c r="K1637" s="55" t="str">
        <f t="shared" si="78"/>
        <v>International</v>
      </c>
    </row>
    <row r="1638" hidden="1">
      <c r="A1638" s="34"/>
      <c r="B1638" s="34" t="str">
        <f>IFERROR(__xludf.DUMMYFUNCTION("""COMPUTED_VALUE"""),"Fiji [GAZ:00006891]                    ")</f>
        <v>Fiji [GAZ:00006891]                    </v>
      </c>
      <c r="C1638" s="34" t="str">
        <f>IFERROR(__xludf.DUMMYFUNCTION("""COMPUTED_VALUE"""),"GAZ:00006891")</f>
        <v>GAZ:00006891</v>
      </c>
      <c r="D1638" s="29" t="str">
        <f>IFERROR(__xludf.DUMMYFUNCTION("""COMPUTED_VALUE"""),"An island nation in the South Pacific Ocean east of Vanuatu, west of Tonga and south of Tuvalu. The country occupies an archipelago of about 322 islands, of which 106 are permanently inhabited, and 522 islets. The two major islands, Viti Levu and Vanua Le"&amp;"vu, account for 87% of the population.")</f>
        <v>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v>
      </c>
      <c r="H1638" s="56" t="s">
        <v>19</v>
      </c>
      <c r="I1638" s="56" t="s">
        <v>19</v>
      </c>
      <c r="J1638" s="56" t="s">
        <v>19</v>
      </c>
      <c r="K1638" s="55" t="str">
        <f t="shared" si="78"/>
        <v>International</v>
      </c>
    </row>
    <row r="1639" hidden="1">
      <c r="A1639" s="34"/>
      <c r="B1639" s="34" t="str">
        <f>IFERROR(__xludf.DUMMYFUNCTION("""COMPUTED_VALUE"""),"Finland [GAZ:00002937]                    ")</f>
        <v>Finland [GAZ:00002937]                    </v>
      </c>
      <c r="C1639" s="34" t="str">
        <f>IFERROR(__xludf.DUMMYFUNCTION("""COMPUTED_VALUE"""),"GAZ:00002937")</f>
        <v>GAZ:00002937</v>
      </c>
      <c r="D1639" s="29" t="str">
        <f>IFERROR(__xludf.DUMMYFUNCTION("""COMPUTED_VALUE"""),"A Nordic country situated in the Fennoscandian region of Northern Europe. It has borders with Sweden to the west, Russia to the east, and Norway to the north, while Estonia lies to its south across the Gulf of Finland. The capital city is Helsinki. Finlan"&amp;"d is divided into six administrative provinces (laani, plural laanit). These are divided into 20 regions (maakunt), 77 subregions (seutukunta) and then into municipalities (kunta).")</f>
        <v>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v>
      </c>
      <c r="H1639" s="56" t="s">
        <v>19</v>
      </c>
      <c r="I1639" s="56" t="s">
        <v>19</v>
      </c>
      <c r="J1639" s="56" t="s">
        <v>19</v>
      </c>
      <c r="K1639" s="55" t="str">
        <f t="shared" si="78"/>
        <v>International</v>
      </c>
    </row>
    <row r="1640" hidden="1">
      <c r="A1640" s="34"/>
      <c r="B1640" s="34" t="str">
        <f>IFERROR(__xludf.DUMMYFUNCTION("""COMPUTED_VALUE"""),"France [GAZ:00003940]                    ")</f>
        <v>France [GAZ:00003940]                    </v>
      </c>
      <c r="C1640" s="34" t="str">
        <f>IFERROR(__xludf.DUMMYFUNCTION("""COMPUTED_VALUE"""),"GAZ:00003940")</f>
        <v>GAZ:00003940</v>
      </c>
      <c r="D1640" s="29" t="str">
        <f>IFERROR(__xludf.DUMMYFUNCTION("""COMPUTED_VALUE"""),"A part of the country of France that extends from the Mediterranean Sea to the English Channel and the North Sea, and from the Rhine to the Atlantic Ocean. Metropolitan France is bordered by Belgium, Luxembourg, Germany, Switzerland, Italy, Monaco, Andorr"&amp;"a, and Spain. Due to its overseas departments.")</f>
        <v>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v>
      </c>
      <c r="H1640" s="56" t="s">
        <v>19</v>
      </c>
      <c r="I1640" s="56" t="s">
        <v>19</v>
      </c>
      <c r="J1640" s="56" t="s">
        <v>19</v>
      </c>
      <c r="K1640" s="55" t="str">
        <f t="shared" si="78"/>
        <v>International</v>
      </c>
    </row>
    <row r="1641" hidden="1">
      <c r="A1641" s="34"/>
      <c r="B1641" s="34" t="str">
        <f>IFERROR(__xludf.DUMMYFUNCTION("""COMPUTED_VALUE"""),"French Guiana [GAZ:00002516]                    ")</f>
        <v>French Guiana [GAZ:00002516]                    </v>
      </c>
      <c r="C1641" s="34" t="str">
        <f>IFERROR(__xludf.DUMMYFUNCTION("""COMPUTED_VALUE"""),"GAZ:00002516")</f>
        <v>GAZ:00002516</v>
      </c>
      <c r="D1641" s="29" t="str">
        <f>IFERROR(__xludf.DUMMYFUNCTION("""COMPUTED_VALUE"""),"An overseas department (departement d'outre-mer) of France, located on the northern coast of South America. It is bordered by Suriname, to the E, and Brazil, to the S and W, and by the North Atlantic Ocean, to the N. French Guiana is divided into 2 depart"&amp;"mental arrondissements, 19 cantons and 22 communes.")</f>
        <v>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v>
      </c>
      <c r="H1641" s="56" t="s">
        <v>19</v>
      </c>
      <c r="I1641" s="56" t="s">
        <v>19</v>
      </c>
      <c r="J1641" s="56" t="s">
        <v>19</v>
      </c>
      <c r="K1641" s="55" t="str">
        <f t="shared" si="78"/>
        <v>International</v>
      </c>
    </row>
    <row r="1642" hidden="1">
      <c r="A1642" s="34"/>
      <c r="B1642" s="34" t="str">
        <f>IFERROR(__xludf.DUMMYFUNCTION("""COMPUTED_VALUE"""),"French Polynesia [GAZ:00002918]                    ")</f>
        <v>French Polynesia [GAZ:00002918]                    </v>
      </c>
      <c r="C1642" s="34" t="str">
        <f>IFERROR(__xludf.DUMMYFUNCTION("""COMPUTED_VALUE"""),"GAZ:00002918")</f>
        <v>GAZ:00002918</v>
      </c>
      <c r="D1642" s="29" t="str">
        <f>IFERROR(__xludf.DUMMYFUNCTION("""COMPUTED_VALUE"""),"A French overseas collectivity in the southern Pacific Ocean. It is made up of several groups of Polynesian islands. French Polynesia has five administrative subdivisions (French: subdivisions administratives).")</f>
        <v>A French overseas collectivity in the southern Pacific Ocean. It is made up of several groups of Polynesian islands. French Polynesia has five administrative subdivisions (French: subdivisions administratives).</v>
      </c>
      <c r="H1642" s="56" t="s">
        <v>19</v>
      </c>
      <c r="I1642" s="56" t="s">
        <v>19</v>
      </c>
      <c r="J1642" s="56" t="s">
        <v>19</v>
      </c>
      <c r="K1642" s="55" t="str">
        <f t="shared" si="78"/>
        <v>International</v>
      </c>
    </row>
    <row r="1643" hidden="1">
      <c r="A1643" s="34"/>
      <c r="B1643" s="34" t="str">
        <f>IFERROR(__xludf.DUMMYFUNCTION("""COMPUTED_VALUE"""),"French Southern and Antarctic Lands [GAZ:00003753]                    ")</f>
        <v>French Southern and Antarctic Lands [GAZ:00003753]                    </v>
      </c>
      <c r="C1643" s="34" t="str">
        <f>IFERROR(__xludf.DUMMYFUNCTION("""COMPUTED_VALUE"""),"GAZ:00003753")</f>
        <v>GAZ:00003753</v>
      </c>
      <c r="D1643" s="29" t="str">
        <f>IFERROR(__xludf.DUMMYFUNCTION("""COMPUTED_VALUE"""),"The French Southern and Antarctic Lands have formed a territoire d'outre-mer (an overseas territory) of France since 1955. The territory is divided into five districts.")</f>
        <v>The French Southern and Antarctic Lands have formed a territoire d'outre-mer (an overseas territory) of France since 1955. The territory is divided into five districts.</v>
      </c>
      <c r="H1643" s="56" t="s">
        <v>19</v>
      </c>
      <c r="I1643" s="56" t="s">
        <v>19</v>
      </c>
      <c r="J1643" s="56" t="s">
        <v>19</v>
      </c>
      <c r="K1643" s="55" t="str">
        <f t="shared" si="78"/>
        <v>International</v>
      </c>
    </row>
    <row r="1644" hidden="1">
      <c r="A1644" s="34"/>
      <c r="B1644" s="34" t="str">
        <f>IFERROR(__xludf.DUMMYFUNCTION("""COMPUTED_VALUE"""),"Gabon [GAZ:00001092]                    ")</f>
        <v>Gabon [GAZ:00001092]                    </v>
      </c>
      <c r="C1644" s="34" t="str">
        <f>IFERROR(__xludf.DUMMYFUNCTION("""COMPUTED_VALUE"""),"GAZ:00001092")</f>
        <v>GAZ:00001092</v>
      </c>
      <c r="D1644" s="29" t="str">
        <f>IFERROR(__xludf.DUMMYFUNCTION("""COMPUTED_VALUE"""),"A country in west central Africa sharing borders with Equatorial Guinea, Cameroon, Republic of the Congo and the Gulf of Guinea. The capital and largest city is Libreville. Gabon is divided into 9 provinces and further divided into 37 departments.")</f>
        <v>A country in west central Africa sharing borders with Equatorial Guinea, Cameroon, Republic of the Congo and the Gulf of Guinea. The capital and largest city is Libreville. Gabon is divided into 9 provinces and further divided into 37 departments.</v>
      </c>
      <c r="H1644" s="56" t="s">
        <v>19</v>
      </c>
      <c r="I1644" s="56" t="s">
        <v>19</v>
      </c>
      <c r="J1644" s="56" t="s">
        <v>19</v>
      </c>
      <c r="K1644" s="55" t="str">
        <f t="shared" si="78"/>
        <v>International</v>
      </c>
    </row>
    <row r="1645" hidden="1">
      <c r="A1645" s="34"/>
      <c r="B1645" s="34" t="str">
        <f>IFERROR(__xludf.DUMMYFUNCTION("""COMPUTED_VALUE"""),"Gambia [GAZ:00000907]                    ")</f>
        <v>Gambia [GAZ:00000907]                    </v>
      </c>
      <c r="C1645" s="34" t="str">
        <f>IFERROR(__xludf.DUMMYFUNCTION("""COMPUTED_VALUE"""),"GAZ:00000907")</f>
        <v>GAZ:00000907</v>
      </c>
      <c r="D1645" s="29" t="str">
        <f>IFERROR(__xludf.DUMMYFUNCTION("""COMPUTED_VALUE"""),"A country in Western Africa. It is the smallest country on the African continental mainland and is bordered to the north, east, and south by Senegal, and has a small coast on the Atlantic Ocean in the west. Flowing through the centre of the country and di"&amp;"scharging to the Atlantic Ocean is the Gambia River. The Gambia is divided into five divisions and one city (Banjul). The divisions are further subdivided into 37 districts.")</f>
        <v>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v>
      </c>
      <c r="H1645" s="56" t="s">
        <v>19</v>
      </c>
      <c r="I1645" s="56" t="s">
        <v>19</v>
      </c>
      <c r="J1645" s="56" t="s">
        <v>19</v>
      </c>
      <c r="K1645" s="55" t="str">
        <f t="shared" si="78"/>
        <v>International</v>
      </c>
    </row>
    <row r="1646" hidden="1">
      <c r="A1646" s="34"/>
      <c r="B1646" s="34" t="str">
        <f>IFERROR(__xludf.DUMMYFUNCTION("""COMPUTED_VALUE"""),"Gaza Strip [GAZ:00009571]                    ")</f>
        <v>Gaza Strip [GAZ:00009571]                    </v>
      </c>
      <c r="C1646" s="34" t="str">
        <f>IFERROR(__xludf.DUMMYFUNCTION("""COMPUTED_VALUE"""),"GAZ:00009571")</f>
        <v>GAZ:00009571</v>
      </c>
      <c r="D1646" s="29" t="str">
        <f>IFERROR(__xludf.DUMMYFUNCTION("""COMPUTED_VALUE"""),"A Palestinian enclave on the eastern coast of the Mediterranean Sea. It borders Egypt on the southwest for 11 kilometers (6.8 mi) and Israel on the east and north along a 51 km (32 mi) border. Gaza and the West Bank are claimed by the de jure sovereign St"&amp;"ate of Palestine.")</f>
        <v>A Palestinian enclave on the eastern coast of the Mediterranean Sea. It borders Egypt on the southwest for 11 kilometers (6.8 mi) and Israel on the east and north along a 51 km (32 mi) border. Gaza and the West Bank are claimed by the de jure sovereign State of Palestine.</v>
      </c>
      <c r="H1646" s="56" t="s">
        <v>19</v>
      </c>
      <c r="I1646" s="56" t="s">
        <v>19</v>
      </c>
      <c r="J1646" s="56" t="s">
        <v>19</v>
      </c>
      <c r="K1646" s="55" t="str">
        <f t="shared" si="78"/>
        <v>International</v>
      </c>
    </row>
    <row r="1647" hidden="1">
      <c r="A1647" s="34"/>
      <c r="B1647" s="34" t="str">
        <f>IFERROR(__xludf.DUMMYFUNCTION("""COMPUTED_VALUE"""),"Georgia [GAZ:00004942]                    ")</f>
        <v>Georgia [GAZ:00004942]                    </v>
      </c>
      <c r="C1647" s="34" t="str">
        <f>IFERROR(__xludf.DUMMYFUNCTION("""COMPUTED_VALUE"""),"GAZ:00004942")</f>
        <v>GAZ:00004942</v>
      </c>
      <c r="D1647" s="29" t="str">
        <f>IFERROR(__xludf.DUMMYFUNCTION("""COMPUTED_VALUE"""),"A Eurasian country in the Caucasus located at the east coast of the Black Sea. In the north, Georgia has a 723 km common border with Russia, specifically with the Northern Caucasus federal district. The following Russian republics/subdivisions: from west "&amp;"to east: border Georgia: Krasnodar Krai, Karachay-Cherkessia, Kabardino-Balkaria, North Ossetia-Alania, Ingushetia, Chechnya, Dagestan. Georgia also shares borders with Azerbaijan (322 km) to the south-east, Armenia (164 km) to the south, and Turkey (252 "&amp;"km) to the south-west. It is a transcontinental country, located at the juncture of Eastern Europe and Western Asia. Georgia is divided into 9 regions, 2 autonomous republics (avtonomiuri respublika), and 1 city (k'alak'i). The regions are further subdivi"&amp;"ded into 69 districts (raioni).")</f>
        <v>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v>
      </c>
      <c r="H1647" s="56" t="s">
        <v>19</v>
      </c>
      <c r="I1647" s="56" t="s">
        <v>19</v>
      </c>
      <c r="J1647" s="56" t="s">
        <v>19</v>
      </c>
      <c r="K1647" s="55" t="str">
        <f t="shared" si="78"/>
        <v>International</v>
      </c>
    </row>
    <row r="1648" hidden="1">
      <c r="A1648" s="34"/>
      <c r="B1648" s="34" t="str">
        <f>IFERROR(__xludf.DUMMYFUNCTION("""COMPUTED_VALUE"""),"Germany [GAZ:00002646]                    ")</f>
        <v>Germany [GAZ:00002646]                    </v>
      </c>
      <c r="C1648" s="34" t="str">
        <f>IFERROR(__xludf.DUMMYFUNCTION("""COMPUTED_VALUE"""),"GAZ:00002646")</f>
        <v>GAZ:00002646</v>
      </c>
      <c r="D1648" s="29" t="str">
        <f>IFERROR(__xludf.DUMMYFUNCTION("""COMPUTED_VALUE"""),"A country in Central Europe. It is bordered to the north by the North Sea, Denmark, and the Baltic Sea; to the east by Poland and the Czech Republic; to the south by Austria and Switzerland; and to the west by France, Luxembourg, Belgium, and the Netherla"&amp;"nds. Germany comprises 16 states (Lander, Bundeslander), which are further subdivided into 439 districts (Kreise/Landkreise) and cities (kreisfreie Stadte).")</f>
        <v>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v>
      </c>
      <c r="H1648" s="56" t="s">
        <v>19</v>
      </c>
      <c r="I1648" s="56" t="s">
        <v>19</v>
      </c>
      <c r="J1648" s="56" t="s">
        <v>19</v>
      </c>
      <c r="K1648" s="55" t="str">
        <f t="shared" si="78"/>
        <v>International</v>
      </c>
    </row>
    <row r="1649" hidden="1">
      <c r="A1649" s="34"/>
      <c r="B1649" s="34" t="str">
        <f>IFERROR(__xludf.DUMMYFUNCTION("""COMPUTED_VALUE"""),"Ghana [GAZ:00000908]                    ")</f>
        <v>Ghana [GAZ:00000908]                    </v>
      </c>
      <c r="C1649" s="34" t="str">
        <f>IFERROR(__xludf.DUMMYFUNCTION("""COMPUTED_VALUE"""),"GAZ:00000908")</f>
        <v>GAZ:00000908</v>
      </c>
      <c r="D1649" s="29" t="str">
        <f>IFERROR(__xludf.DUMMYFUNCTION("""COMPUTED_VALUE"""),"A country in West Africa. It borders Cote d'Ivoire to the west, Burkina Faso to the north, Togo to the east, and the Gulf of Guinea to the south. Ghana is a divided into 10 regions, subdivided into a total of 138 districts.")</f>
        <v>A country in West Africa. It borders Cote d'Ivoire to the west, Burkina Faso to the north, Togo to the east, and the Gulf of Guinea to the south. Ghana is a divided into 10 regions, subdivided into a total of 138 districts.</v>
      </c>
      <c r="H1649" s="56" t="s">
        <v>19</v>
      </c>
      <c r="I1649" s="56" t="s">
        <v>19</v>
      </c>
      <c r="J1649" s="56" t="s">
        <v>19</v>
      </c>
      <c r="K1649" s="55" t="str">
        <f t="shared" si="78"/>
        <v>International</v>
      </c>
    </row>
    <row r="1650" hidden="1">
      <c r="A1650" s="34"/>
      <c r="B1650" s="34" t="str">
        <f>IFERROR(__xludf.DUMMYFUNCTION("""COMPUTED_VALUE"""),"Gibraltar [GAZ:00003987]                    ")</f>
        <v>Gibraltar [GAZ:00003987]                    </v>
      </c>
      <c r="C1650" s="34" t="str">
        <f>IFERROR(__xludf.DUMMYFUNCTION("""COMPUTED_VALUE"""),"GAZ:00003987")</f>
        <v>GAZ:00003987</v>
      </c>
      <c r="D1650" s="29" t="str">
        <f>IFERROR(__xludf.DUMMYFUNCTION("""COMPUTED_VALUE"""),"A British overseas territory located near the southernmost tip of the Iberian Peninsula overlooking the Strait of Gibraltar. The territory shares a border with Spain to the north.")</f>
        <v>A British overseas territory located near the southernmost tip of the Iberian Peninsula overlooking the Strait of Gibraltar. The territory shares a border with Spain to the north.</v>
      </c>
      <c r="H1650" s="56" t="s">
        <v>19</v>
      </c>
      <c r="I1650" s="56" t="s">
        <v>19</v>
      </c>
      <c r="J1650" s="56" t="s">
        <v>19</v>
      </c>
      <c r="K1650" s="55" t="str">
        <f t="shared" si="78"/>
        <v>International</v>
      </c>
    </row>
    <row r="1651" hidden="1">
      <c r="A1651" s="34"/>
      <c r="B1651" s="34" t="str">
        <f>IFERROR(__xludf.DUMMYFUNCTION("""COMPUTED_VALUE"""),"Glorioso Islands [GAZ:00005808]                    ")</f>
        <v>Glorioso Islands [GAZ:00005808]                    </v>
      </c>
      <c r="C1651" s="34" t="str">
        <f>IFERROR(__xludf.DUMMYFUNCTION("""COMPUTED_VALUE"""),"GAZ:00005808")</f>
        <v>GAZ:00005808</v>
      </c>
      <c r="D1651" s="29" t="str">
        <f>IFERROR(__xludf.DUMMYFUNCTION("""COMPUTED_VALUE"""),"A group of islands and rocks totalling 5 km2, in the northern Mozambique channel, about 160 km northwest of Madagascar.")</f>
        <v>A group of islands and rocks totalling 5 km2, in the northern Mozambique channel, about 160 km northwest of Madagascar.</v>
      </c>
      <c r="H1651" s="56" t="s">
        <v>19</v>
      </c>
      <c r="I1651" s="56" t="s">
        <v>19</v>
      </c>
      <c r="J1651" s="56" t="s">
        <v>19</v>
      </c>
      <c r="K1651" s="55" t="str">
        <f t="shared" si="78"/>
        <v>International</v>
      </c>
    </row>
    <row r="1652" hidden="1">
      <c r="A1652" s="34"/>
      <c r="B1652" s="34" t="str">
        <f>IFERROR(__xludf.DUMMYFUNCTION("""COMPUTED_VALUE"""),"Greece [GAZ:00002945]                    ")</f>
        <v>Greece [GAZ:00002945]                    </v>
      </c>
      <c r="C1652" s="34" t="str">
        <f>IFERROR(__xludf.DUMMYFUNCTION("""COMPUTED_VALUE"""),"GAZ:00002945")</f>
        <v>GAZ:00002945</v>
      </c>
      <c r="D1652" s="29" t="str">
        <f>IFERROR(__xludf.DUMMYFUNCTION("""COMPUTED_VALUE"""),"A country in southeastern Europe, situated on the southern end of the Balkan Peninsula. It has borders with Albania, the former Yugoslav Republic of Macedonia and Bulgaria to the north, and Turkey to the east. The Aegean Sea lies to the east and south of "&amp;"mainland Greece, while the Ionian Sea lies to the west. Both parts of the Eastern Mediterranean basin feature a vast number of islands. Greece consists of thirteen peripheries subdivided into a total of fifty-one prefectures (nomoi, singular nomos). There"&amp;" is also one autonomous area, Mount Athos, which borders the periphery of Central Macedonia.")</f>
        <v>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v>
      </c>
      <c r="H1652" s="56" t="s">
        <v>19</v>
      </c>
      <c r="I1652" s="56" t="s">
        <v>19</v>
      </c>
      <c r="J1652" s="56" t="s">
        <v>19</v>
      </c>
      <c r="K1652" s="55" t="str">
        <f t="shared" si="78"/>
        <v>International</v>
      </c>
    </row>
    <row r="1653" hidden="1">
      <c r="A1653" s="34"/>
      <c r="B1653" s="34" t="str">
        <f>IFERROR(__xludf.DUMMYFUNCTION("""COMPUTED_VALUE"""),"Greenland [GAZ:00001507]                    ")</f>
        <v>Greenland [GAZ:00001507]                    </v>
      </c>
      <c r="C1653" s="34" t="str">
        <f>IFERROR(__xludf.DUMMYFUNCTION("""COMPUTED_VALUE"""),"GAZ:00001507")</f>
        <v>GAZ:00001507</v>
      </c>
      <c r="D1653" s="29" t="str">
        <f>IFERROR(__xludf.DUMMYFUNCTION("""COMPUTED_VALUE"""),"A self-governing Danish province located between the Arctic and Atlantic Oceans, east of the Canadian Arctic Archipelago.")</f>
        <v>A self-governing Danish province located between the Arctic and Atlantic Oceans, east of the Canadian Arctic Archipelago.</v>
      </c>
      <c r="H1653" s="56" t="s">
        <v>19</v>
      </c>
      <c r="I1653" s="56" t="s">
        <v>19</v>
      </c>
      <c r="J1653" s="56" t="s">
        <v>19</v>
      </c>
      <c r="K1653" s="55" t="str">
        <f t="shared" si="78"/>
        <v>International</v>
      </c>
    </row>
    <row r="1654" hidden="1">
      <c r="A1654" s="34"/>
      <c r="B1654" s="34" t="str">
        <f>IFERROR(__xludf.DUMMYFUNCTION("""COMPUTED_VALUE"""),"Grenada [GAZ:02000573]                    ")</f>
        <v>Grenada [GAZ:02000573]                    </v>
      </c>
      <c r="C1654" s="34" t="str">
        <f>IFERROR(__xludf.DUMMYFUNCTION("""COMPUTED_VALUE"""),"GAZ:02000573")</f>
        <v>GAZ:02000573</v>
      </c>
      <c r="D1654" s="29" t="str">
        <f>IFERROR(__xludf.DUMMYFUNCTION("""COMPUTED_VALUE"""),"An island country in the West Indies in the Caribbean Sea at the southern end of the Grenadines island chain. Grenada consists of the island of Grenada itself, two smaller islands, Carriacou and Petite Martinique, and several small islands which lie to th"&amp;"e north of the main island and are a part of the Grenadines. It is located northwest of Trinidad and Tobago, northeast of Venezuela and southwest of Saint Vincent and the Grenadines. Its size is 348.5 square kilometres (134.6 sq mi), and it had an estimat"&amp;"ed population of 112,523 in July 2020.")</f>
        <v>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v>
      </c>
      <c r="H1654" s="56" t="s">
        <v>19</v>
      </c>
      <c r="I1654" s="56" t="s">
        <v>19</v>
      </c>
      <c r="J1654" s="56" t="s">
        <v>19</v>
      </c>
      <c r="K1654" s="55" t="str">
        <f t="shared" si="78"/>
        <v>International</v>
      </c>
    </row>
    <row r="1655" hidden="1">
      <c r="A1655" s="34"/>
      <c r="B1655" s="34" t="str">
        <f>IFERROR(__xludf.DUMMYFUNCTION("""COMPUTED_VALUE"""),"Guadeloupe [GAZ:00067142]                    ")</f>
        <v>Guadeloupe [GAZ:00067142]                    </v>
      </c>
      <c r="C1655" s="34" t="str">
        <f>IFERROR(__xludf.DUMMYFUNCTION("""COMPUTED_VALUE"""),"GAZ:00067142")</f>
        <v>GAZ:00067142</v>
      </c>
      <c r="D1655" s="29" t="str">
        <f>IFERROR(__xludf.DUMMYFUNCTION("""COMPUTED_VALUE"""),"An archipelago and overseas department and region of France in the Caribbean. It consists of six inhabited islands—Basse-Terre, Grande-Terre, Marie-Galante, La Désirade, and the two inhabited Îles des Saintes—as well as many uninhabited islands and outcro"&amp;"ppings. It is south of Antigua and Barbuda and Montserrat, and north of Dominica.")</f>
        <v>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v>
      </c>
      <c r="H1655" s="56" t="s">
        <v>19</v>
      </c>
      <c r="I1655" s="56" t="s">
        <v>19</v>
      </c>
      <c r="J1655" s="56" t="s">
        <v>19</v>
      </c>
      <c r="K1655" s="55" t="str">
        <f t="shared" si="78"/>
        <v>International</v>
      </c>
    </row>
    <row r="1656" hidden="1">
      <c r="A1656" s="34"/>
      <c r="B1656" s="34" t="str">
        <f>IFERROR(__xludf.DUMMYFUNCTION("""COMPUTED_VALUE"""),"Guam [GAZ:00003706]                    ")</f>
        <v>Guam [GAZ:00003706]                    </v>
      </c>
      <c r="C1656" s="34" t="str">
        <f>IFERROR(__xludf.DUMMYFUNCTION("""COMPUTED_VALUE"""),"GAZ:00003706")</f>
        <v>GAZ:00003706</v>
      </c>
      <c r="D1656" s="29" t="str">
        <f>IFERROR(__xludf.DUMMYFUNCTION("""COMPUTED_VALUE"""),"An organized, unincorporated territory of the United States in the Micronesia subregion of the western Pacific Ocean. It is the westernmost point and territory of the United States (reckoned from the geographic center of the U.S.); in Oceania, it is the l"&amp;"argest and southernmost of the Mariana Islands and the largest island in Micronesia.")</f>
        <v>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v>
      </c>
      <c r="H1656" s="56" t="s">
        <v>19</v>
      </c>
      <c r="I1656" s="56" t="s">
        <v>19</v>
      </c>
      <c r="J1656" s="56" t="s">
        <v>19</v>
      </c>
      <c r="K1656" s="55" t="str">
        <f t="shared" si="78"/>
        <v>International</v>
      </c>
    </row>
    <row r="1657" hidden="1">
      <c r="A1657" s="34"/>
      <c r="B1657" s="34" t="str">
        <f>IFERROR(__xludf.DUMMYFUNCTION("""COMPUTED_VALUE"""),"Guatemala [GAZ:00002936]                    ")</f>
        <v>Guatemala [GAZ:00002936]                    </v>
      </c>
      <c r="C1657" s="34" t="str">
        <f>IFERROR(__xludf.DUMMYFUNCTION("""COMPUTED_VALUE"""),"GAZ:00002936")</f>
        <v>GAZ:00002936</v>
      </c>
      <c r="D1657" s="29" t="str">
        <f>IFERROR(__xludf.DUMMYFUNCTION("""COMPUTED_VALUE"""),"A country in Central America bordered by Mexico to the northwest, the Pacific Ocean to the southwest, Belize and the Caribbean Sea to the northeast, and Honduras and El Salvador to the southeast. Guatemala is divided into 22 departments (departamentos) an"&amp;"d sub-divided into about 332 municipalities (municipios).")</f>
        <v>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v>
      </c>
      <c r="H1657" s="56" t="s">
        <v>19</v>
      </c>
      <c r="I1657" s="56" t="s">
        <v>19</v>
      </c>
      <c r="J1657" s="56" t="s">
        <v>19</v>
      </c>
      <c r="K1657" s="55" t="str">
        <f t="shared" si="78"/>
        <v>International</v>
      </c>
    </row>
    <row r="1658" hidden="1">
      <c r="A1658" s="34"/>
      <c r="B1658" s="34" t="str">
        <f>IFERROR(__xludf.DUMMYFUNCTION("""COMPUTED_VALUE"""),"Guernsey [GAZ:00001550]                    ")</f>
        <v>Guernsey [GAZ:00001550]                    </v>
      </c>
      <c r="C1658" s="34" t="str">
        <f>IFERROR(__xludf.DUMMYFUNCTION("""COMPUTED_VALUE"""),"GAZ:00001550")</f>
        <v>GAZ:00001550</v>
      </c>
      <c r="D1658" s="29" t="str">
        <f>IFERROR(__xludf.DUMMYFUNCTION("""COMPUTED_VALUE"""),"A British Crown Dependency in the English Channel off the coast of Normandy.")</f>
        <v>A British Crown Dependency in the English Channel off the coast of Normandy.</v>
      </c>
      <c r="H1658" s="56" t="s">
        <v>19</v>
      </c>
      <c r="I1658" s="56" t="s">
        <v>19</v>
      </c>
      <c r="J1658" s="56" t="s">
        <v>19</v>
      </c>
      <c r="K1658" s="55" t="str">
        <f t="shared" si="78"/>
        <v>International</v>
      </c>
    </row>
    <row r="1659" hidden="1">
      <c r="A1659" s="34"/>
      <c r="B1659" s="34" t="str">
        <f>IFERROR(__xludf.DUMMYFUNCTION("""COMPUTED_VALUE"""),"Guinea [GAZ:00000909]                    ")</f>
        <v>Guinea [GAZ:00000909]                    </v>
      </c>
      <c r="C1659" s="34" t="str">
        <f>IFERROR(__xludf.DUMMYFUNCTION("""COMPUTED_VALUE"""),"GAZ:00000909")</f>
        <v>GAZ:00000909</v>
      </c>
      <c r="D1659" s="29" t="str">
        <f>IFERROR(__xludf.DUMMYFUNCTION("""COMPUTED_VALUE"""),"A nation in West Africa, formerly known as French Guinea. Guinea's territory has a curved shape, with its base at the Atlantic Ocean, inland to the east, and turning south. The base borders Guinea-Bissau and Senegal to the north, and Mali to the north and"&amp;" north-east; the inland part borders Cote d'Ivoire to the south-east, Liberia to the south, and Sierra Leone to the west of the southern tip.")</f>
        <v>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v>
      </c>
      <c r="H1659" s="56" t="s">
        <v>19</v>
      </c>
      <c r="I1659" s="56" t="s">
        <v>19</v>
      </c>
      <c r="J1659" s="56" t="s">
        <v>19</v>
      </c>
      <c r="K1659" s="55" t="str">
        <f t="shared" si="78"/>
        <v>International</v>
      </c>
    </row>
    <row r="1660" hidden="1">
      <c r="A1660" s="34"/>
      <c r="B1660" s="34" t="str">
        <f>IFERROR(__xludf.DUMMYFUNCTION("""COMPUTED_VALUE"""),"Guinea-Bissau [GAZ:00000910]                    ")</f>
        <v>Guinea-Bissau [GAZ:00000910]                    </v>
      </c>
      <c r="C1660" s="34" t="str">
        <f>IFERROR(__xludf.DUMMYFUNCTION("""COMPUTED_VALUE"""),"GAZ:00000910")</f>
        <v>GAZ:00000910</v>
      </c>
      <c r="D1660" s="29" t="str">
        <f>IFERROR(__xludf.DUMMYFUNCTION("""COMPUTED_VALUE"""),"A country in western Africa, and one of the smallest nations in continental Africa. It is bordered by Senegal to the north, and Guinea to the south and east, with the Atlantic Ocean to its west. Formerly the Portuguese colony of Portuguese Guinea, upon in"&amp;"dependence, the name of its capital, Bissau, was added to the country's name in order to prevent confusion between itself and the Republic of Guinea.")</f>
        <v>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v>
      </c>
      <c r="H1660" s="56" t="s">
        <v>19</v>
      </c>
      <c r="I1660" s="56" t="s">
        <v>19</v>
      </c>
      <c r="J1660" s="56" t="s">
        <v>19</v>
      </c>
      <c r="K1660" s="55" t="str">
        <f t="shared" si="78"/>
        <v>International</v>
      </c>
    </row>
    <row r="1661" hidden="1">
      <c r="A1661" s="34"/>
      <c r="B1661" s="34" t="str">
        <f>IFERROR(__xludf.DUMMYFUNCTION("""COMPUTED_VALUE"""),"Guyana [GAZ:00002522]                    ")</f>
        <v>Guyana [GAZ:00002522]                    </v>
      </c>
      <c r="C1661" s="34" t="str">
        <f>IFERROR(__xludf.DUMMYFUNCTION("""COMPUTED_VALUE"""),"GAZ:00002522")</f>
        <v>GAZ:00002522</v>
      </c>
      <c r="D1661" s="29" t="str">
        <f>IFERROR(__xludf.DUMMYFUNCTION("""COMPUTED_VALUE"""),"A country in the N of South America. Guyana lies north of the equator, in the tropics, and is located on the Atlantic Ocean. Guyana is bordered to the east by Suriname, to the south and southwest by Brazil and to the west by Venezuela. Guyana is divided i"&amp;"nto 10 regions. The regions of Guyana are divided into 27 neighborhood councils.")</f>
        <v>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v>
      </c>
      <c r="H1661" s="56" t="s">
        <v>19</v>
      </c>
      <c r="I1661" s="56" t="s">
        <v>19</v>
      </c>
      <c r="J1661" s="56" t="s">
        <v>19</v>
      </c>
      <c r="K1661" s="55" t="str">
        <f t="shared" si="78"/>
        <v>International</v>
      </c>
    </row>
    <row r="1662" hidden="1">
      <c r="A1662" s="34"/>
      <c r="B1662" s="34" t="str">
        <f>IFERROR(__xludf.DUMMYFUNCTION("""COMPUTED_VALUE"""),"Haiti [GAZ:00003953]                    ")</f>
        <v>Haiti [GAZ:00003953]                    </v>
      </c>
      <c r="C1662" s="34" t="str">
        <f>IFERROR(__xludf.DUMMYFUNCTION("""COMPUTED_VALUE"""),"GAZ:00003953")</f>
        <v>GAZ:00003953</v>
      </c>
      <c r="D1662" s="29" t="str">
        <f>IFERROR(__xludf.DUMMYFUNCTION("""COMPUTED_VALUE"""),"A country located in the Greater Antilles archipelago on the Caribbean island of Hispaniola, which it shares with the Dominican Republic. Haiti is divided into 10 departments. The departments are further divided into 41 arrondissements, and 133 communes w"&amp;"hich serve as second and third level administrative divisions.")</f>
        <v>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v>
      </c>
      <c r="H1662" s="56" t="s">
        <v>19</v>
      </c>
      <c r="I1662" s="56" t="s">
        <v>19</v>
      </c>
      <c r="J1662" s="56" t="s">
        <v>19</v>
      </c>
      <c r="K1662" s="55" t="str">
        <f t="shared" si="78"/>
        <v>International</v>
      </c>
    </row>
    <row r="1663" hidden="1">
      <c r="A1663" s="34"/>
      <c r="B1663" s="34" t="str">
        <f>IFERROR(__xludf.DUMMYFUNCTION("""COMPUTED_VALUE"""),"Heard Island and McDonald Islands [GAZ:00009718]                    ")</f>
        <v>Heard Island and McDonald Islands [GAZ:00009718]                    </v>
      </c>
      <c r="C1663" s="34" t="str">
        <f>IFERROR(__xludf.DUMMYFUNCTION("""COMPUTED_VALUE"""),"GAZ:00009718")</f>
        <v>GAZ:00009718</v>
      </c>
      <c r="D1663" s="29" t="str">
        <f>IFERROR(__xludf.DUMMYFUNCTION("""COMPUTED_VALUE"""),"An Australian external territory comprising a volcanic group of mostly barren Antarctic islands, about two-thirds of the way from Madagascar to Antarctica.")</f>
        <v>An Australian external territory comprising a volcanic group of mostly barren Antarctic islands, about two-thirds of the way from Madagascar to Antarctica.</v>
      </c>
      <c r="H1663" s="56" t="s">
        <v>19</v>
      </c>
      <c r="I1663" s="56" t="s">
        <v>19</v>
      </c>
      <c r="J1663" s="56" t="s">
        <v>19</v>
      </c>
      <c r="K1663" s="55" t="str">
        <f t="shared" si="78"/>
        <v>International</v>
      </c>
    </row>
    <row r="1664" hidden="1">
      <c r="A1664" s="34"/>
      <c r="B1664" s="34" t="str">
        <f>IFERROR(__xludf.DUMMYFUNCTION("""COMPUTED_VALUE"""),"Honduras [GAZ:00002894]                    ")</f>
        <v>Honduras [GAZ:00002894]                    </v>
      </c>
      <c r="C1664" s="34" t="str">
        <f>IFERROR(__xludf.DUMMYFUNCTION("""COMPUTED_VALUE"""),"GAZ:00002894")</f>
        <v>GAZ:00002894</v>
      </c>
      <c r="D1664" s="29" t="str">
        <f>IFERROR(__xludf.DUMMYFUNCTION("""COMPUTED_VALUE"""),"A republic in Central America. The country is bordered to the west by Guatemala, to the southwest by El Salvador, to the southeast by Nicaragua, to the south by the Pacific Ocean at the Gulf of Fonseca, and to the north by the Gulf of Honduras, a large in"&amp;"let of the Caribbean Sea. Honduras is divided into 18 departments. The capital city is Tegucigalpa Central District of the department of Francisco Morazan.")</f>
        <v>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v>
      </c>
      <c r="H1664" s="56" t="s">
        <v>19</v>
      </c>
      <c r="I1664" s="56" t="s">
        <v>19</v>
      </c>
      <c r="J1664" s="56" t="s">
        <v>19</v>
      </c>
      <c r="K1664" s="55" t="str">
        <f t="shared" si="78"/>
        <v>International</v>
      </c>
    </row>
    <row r="1665" hidden="1">
      <c r="A1665" s="34"/>
      <c r="B1665" s="34" t="str">
        <f>IFERROR(__xludf.DUMMYFUNCTION("""COMPUTED_VALUE"""),"Hong Kong [GAZ:00003203]                    ")</f>
        <v>Hong Kong [GAZ:00003203]                    </v>
      </c>
      <c r="C1665" s="34" t="str">
        <f>IFERROR(__xludf.DUMMYFUNCTION("""COMPUTED_VALUE"""),"GAZ:00003203")</f>
        <v>GAZ:00003203</v>
      </c>
      <c r="D1665" s="29" t="str">
        <f>IFERROR(__xludf.DUMMYFUNCTION("""COMPUTED_VALUE"""),"A special administrative region of the People's Republic of China (PRC). The territory lies on the eastern side of the Pearl River Delta, bordering Guangdong province in the north and facing the South China Sea in the east, west and south. Hong Kong was a"&amp;" crown colony of the United Kingdom from 1842 until the transfer of its sovereignty to the People's Republic of China in 1997.")</f>
        <v>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v>
      </c>
      <c r="H1665" s="56" t="s">
        <v>19</v>
      </c>
      <c r="I1665" s="56" t="s">
        <v>19</v>
      </c>
      <c r="J1665" s="56" t="s">
        <v>19</v>
      </c>
      <c r="K1665" s="55" t="str">
        <f t="shared" si="78"/>
        <v>International</v>
      </c>
    </row>
    <row r="1666" hidden="1">
      <c r="A1666" s="34"/>
      <c r="B1666" s="34" t="str">
        <f>IFERROR(__xludf.DUMMYFUNCTION("""COMPUTED_VALUE"""),"Howland Island [GAZ:00007120]                    ")</f>
        <v>Howland Island [GAZ:00007120]                    </v>
      </c>
      <c r="C1666" s="34" t="str">
        <f>IFERROR(__xludf.DUMMYFUNCTION("""COMPUTED_VALUE"""),"GAZ:00007120")</f>
        <v>GAZ:00007120</v>
      </c>
      <c r="D1666" s="29" t="str">
        <f>IFERROR(__xludf.DUMMYFUNCTION("""COMPUTED_VALUE"""),"An uninhabited coral island located just north of the equator in the central Pacific Ocean, about 3,100 km (1,670 nm) southwest of Honolulu. The island is almost half way between Hawaii and Australia and is an unincorporated, unorganized territory of the "&amp;"United States, and is often included as one of the Phoenix Islands. For statistical purposes, Howland is grouped as one of the United States Minor Outlying Islands.")</f>
        <v>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v>
      </c>
      <c r="H1666" s="56" t="s">
        <v>19</v>
      </c>
      <c r="I1666" s="56" t="s">
        <v>19</v>
      </c>
      <c r="J1666" s="56" t="s">
        <v>19</v>
      </c>
      <c r="K1666" s="55" t="str">
        <f t="shared" si="78"/>
        <v>International</v>
      </c>
    </row>
    <row r="1667" hidden="1">
      <c r="A1667" s="34"/>
      <c r="B1667" s="34" t="str">
        <f>IFERROR(__xludf.DUMMYFUNCTION("""COMPUTED_VALUE"""),"Hungary [GAZ:00002952]                    ")</f>
        <v>Hungary [GAZ:00002952]                    </v>
      </c>
      <c r="C1667" s="34" t="str">
        <f>IFERROR(__xludf.DUMMYFUNCTION("""COMPUTED_VALUE"""),"GAZ:00002952")</f>
        <v>GAZ:00002952</v>
      </c>
      <c r="D1667" s="29" t="str">
        <f>IFERROR(__xludf.DUMMYFUNCTION("""COMPUTED_VALUE"""),"A landlocked country in the Carpathian Basin of Central Europe, bordered by Austria, Slovakia, Ukraine, Romania, Serbia, Croatia, and Slovenia. Its capital is Budapest. Hungary is divided into 19 counties (megyek, singular: megye). In addition, the capita"&amp;"l city (fovaros), Budapest, is independent of any county government. The counties are further subdivided into 173 subregions (kistersegek), and Budapest is comprised of its own subregion. Since 1996, the counties and City of Budapest have been grouped int"&amp;"o 7 regions for statistical and development purposes. These seven regions constitute NUTS second-level units of Hungary.")</f>
        <v>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v>
      </c>
      <c r="H1667" s="56" t="s">
        <v>19</v>
      </c>
      <c r="I1667" s="56" t="s">
        <v>19</v>
      </c>
      <c r="J1667" s="56" t="s">
        <v>19</v>
      </c>
      <c r="K1667" s="55" t="str">
        <f t="shared" si="78"/>
        <v>International</v>
      </c>
    </row>
    <row r="1668" hidden="1">
      <c r="A1668" s="34"/>
      <c r="B1668" s="34" t="str">
        <f>IFERROR(__xludf.DUMMYFUNCTION("""COMPUTED_VALUE"""),"Iceland [GAZ:00000843]                    ")</f>
        <v>Iceland [GAZ:00000843]                    </v>
      </c>
      <c r="C1668" s="34" t="str">
        <f>IFERROR(__xludf.DUMMYFUNCTION("""COMPUTED_VALUE"""),"GAZ:00000843")</f>
        <v>GAZ:00000843</v>
      </c>
      <c r="D1668" s="29" t="str">
        <f>IFERROR(__xludf.DUMMYFUNCTION("""COMPUTED_VALUE"""),"A country in northern Europe, comprising the island of Iceland and its outlying islands in the North Atlantic Ocean between the rest of Europe and Greenland.")</f>
        <v>A country in northern Europe, comprising the island of Iceland and its outlying islands in the North Atlantic Ocean between the rest of Europe and Greenland.</v>
      </c>
      <c r="H1668" s="56" t="s">
        <v>19</v>
      </c>
      <c r="I1668" s="56" t="s">
        <v>19</v>
      </c>
      <c r="J1668" s="56" t="s">
        <v>19</v>
      </c>
      <c r="K1668" s="55" t="str">
        <f t="shared" si="78"/>
        <v>International</v>
      </c>
    </row>
    <row r="1669" hidden="1">
      <c r="A1669" s="34"/>
      <c r="B1669" s="34" t="str">
        <f>IFERROR(__xludf.DUMMYFUNCTION("""COMPUTED_VALUE"""),"India [GAZ:00002839]                    ")</f>
        <v>India [GAZ:00002839]                    </v>
      </c>
      <c r="C1669" s="34" t="str">
        <f>IFERROR(__xludf.DUMMYFUNCTION("""COMPUTED_VALUE"""),"GAZ:00002839")</f>
        <v>GAZ:00002839</v>
      </c>
      <c r="D1669" s="29" t="str">
        <f>IFERROR(__xludf.DUMMYFUNCTION("""COMPUTED_VALUE"""),"A country in South Asia. Bounded by the Indian Ocean on the south, the Arabian Sea on the west, and the Bay of Bengal on the east, India has a coastline of 7,517 km. It borders Pakistan to the west; China, Nepal, and Bhutan to the north-east; and Banglade"&amp;"sh and Burma to the east. India is in the vicinity of Sri Lanka, the Maldives, and Indonesia in the Indian Ocean. India is a federal republic of twenty-eight states and seven Union Territories. Each state or union territory is divided into basic units of "&amp;"government and administration called districts. There are nearly 600 districts in India. The districts in turn are further divided into tehsils and eventually into villages.")</f>
        <v>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v>
      </c>
      <c r="H1669" s="56" t="s">
        <v>19</v>
      </c>
      <c r="I1669" s="56" t="s">
        <v>19</v>
      </c>
      <c r="J1669" s="56" t="s">
        <v>19</v>
      </c>
      <c r="K1669" s="55" t="str">
        <f t="shared" si="78"/>
        <v>International</v>
      </c>
    </row>
    <row r="1670" hidden="1">
      <c r="A1670" s="34"/>
      <c r="B1670" s="34" t="str">
        <f>IFERROR(__xludf.DUMMYFUNCTION("""COMPUTED_VALUE"""),"Indonesia [GAZ:00003727]                    ")</f>
        <v>Indonesia [GAZ:00003727]                    </v>
      </c>
      <c r="C1670" s="34" t="str">
        <f>IFERROR(__xludf.DUMMYFUNCTION("""COMPUTED_VALUE"""),"GAZ:00003727")</f>
        <v>GAZ:00003727</v>
      </c>
      <c r="D1670" s="29" t="str">
        <f>IFERROR(__xludf.DUMMYFUNCTION("""COMPUTED_VALUE"""),"An archipelagic state in Southeast Asia. The country shares land borders with Papua New Guinea, East Timor and Malaysia. Other neighboring countries include Singapore, the Philippines, Australia, and the Indian territory of the Andaman and Nicobar Islands"&amp;". Indonesia consists of 33 provinces, five of which have special status. The provinces are subdivided into regencies (kabupaten, distrik in Papua and West Papua Provinces) and cities (kota), which are further subdivided into subdistricts (kecamatan), and "&amp;"again into village groupings (either desa or kelurahan).")</f>
        <v>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v>
      </c>
      <c r="H1670" s="56" t="s">
        <v>19</v>
      </c>
      <c r="I1670" s="56" t="s">
        <v>19</v>
      </c>
      <c r="J1670" s="56" t="s">
        <v>19</v>
      </c>
      <c r="K1670" s="55" t="str">
        <f t="shared" si="78"/>
        <v>International</v>
      </c>
    </row>
    <row r="1671" hidden="1">
      <c r="A1671" s="34"/>
      <c r="B1671" s="34" t="str">
        <f>IFERROR(__xludf.DUMMYFUNCTION("""COMPUTED_VALUE"""),"Iran [GAZ:00004474]                    ")</f>
        <v>Iran [GAZ:00004474]                    </v>
      </c>
      <c r="C1671" s="34" t="str">
        <f>IFERROR(__xludf.DUMMYFUNCTION("""COMPUTED_VALUE"""),"GAZ:00004474")</f>
        <v>GAZ:00004474</v>
      </c>
      <c r="D1671" s="29" t="str">
        <f>IFERROR(__xludf.DUMMYFUNCTION("""COMPUTED_VALUE"""),"A country in Central Eurasia. Iran is bounded by the Gulf of Oman and the Persian Gulf to the south and the Caspian Sea to its north. It borders Armenia, Azerbaijan, Turkmenistan to the north, Afghanistan and Pakistan to the east, and Turkey and Iraq to t"&amp;"he west. Iran is divided into 30 provinces (ostan). The provinces are divided into counties (shahrestan), and subdivided into districts (bakhsh) and sub-districts (dehestan).")</f>
        <v>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v>
      </c>
      <c r="H1671" s="56" t="s">
        <v>19</v>
      </c>
      <c r="I1671" s="56" t="s">
        <v>19</v>
      </c>
      <c r="J1671" s="56" t="s">
        <v>19</v>
      </c>
      <c r="K1671" s="55" t="str">
        <f t="shared" si="78"/>
        <v>International</v>
      </c>
    </row>
    <row r="1672" hidden="1">
      <c r="A1672" s="34"/>
      <c r="B1672" s="34" t="str">
        <f>IFERROR(__xludf.DUMMYFUNCTION("""COMPUTED_VALUE"""),"Iraq [GAZ:00004483]                    ")</f>
        <v>Iraq [GAZ:00004483]                    </v>
      </c>
      <c r="C1672" s="34" t="str">
        <f>IFERROR(__xludf.DUMMYFUNCTION("""COMPUTED_VALUE"""),"GAZ:00004483")</f>
        <v>GAZ:00004483</v>
      </c>
      <c r="D1672" s="29" t="str">
        <f>IFERROR(__xludf.DUMMYFUNCTION("""COMPUTED_VALUE"""),"A country in the Middle East spanning most of the northwestern end of the Zagros mountain range, the eastern part of the Syrian Desert and the northern part of the Arabian Desert. It shares borders with Kuwait and Saudi Arabia to the south, Jordan to the "&amp;"west, Syria to the northwest, Turkey to the north, and Iran to the east. It has a very narrow section of coastline at Umm Qasr on the Persian Gulf. There are two major flowing rivers: the Tigris and the Euphrates. Iraq is divided into 18 governorates (or "&amp;"provinces) (muhafazah). The governorates are divided into qadhas (or districts).")</f>
        <v>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v>
      </c>
      <c r="H1672" s="56" t="s">
        <v>19</v>
      </c>
      <c r="I1672" s="56" t="s">
        <v>19</v>
      </c>
      <c r="J1672" s="56" t="s">
        <v>19</v>
      </c>
      <c r="K1672" s="55" t="str">
        <f t="shared" si="78"/>
        <v>International</v>
      </c>
    </row>
    <row r="1673" hidden="1">
      <c r="A1673" s="34"/>
      <c r="B1673" s="34" t="str">
        <f>IFERROR(__xludf.DUMMYFUNCTION("""COMPUTED_VALUE"""),"Ireland [GAZ:00002943]                    ")</f>
        <v>Ireland [GAZ:00002943]                    </v>
      </c>
      <c r="C1673" s="34" t="str">
        <f>IFERROR(__xludf.DUMMYFUNCTION("""COMPUTED_VALUE"""),"GAZ:00002943")</f>
        <v>GAZ:00002943</v>
      </c>
      <c r="D1673" s="29" t="str">
        <f>IFERROR(__xludf.DUMMYFUNCTION("""COMPUTED_VALUE"""),"A country in north-western Europe. The modern sovereign state occupies five-sixths of the island of Ireland, which was partitioned in 1921. It is bordered by Northern Ireland (part of the United Kingdom) to the north, by the Atlantic Ocean to the west and"&amp;" by the Irish Sea to the east. Administration follows the 34 ""county-level"" counties and cities of Ireland. Of these twenty-nine are counties, governed by county councils while the five cities of Dublin, Cork, Limerick, Galway and Waterford have city co"&amp;"uncils, (previously known as corporations), and are administered separately from the counties bearing those names. The City of Kilkenny is the only city in the republic which does not have a ""city council""; it is still a borough but not a county borough"&amp;" and is administered as part of County Kilkenny. Ireland is split into eight regions for NUTS statistical purposes. These are not related to the four traditional provinces but are based on the administrative counties.")</f>
        <v>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v>
      </c>
      <c r="H1673" s="56" t="s">
        <v>19</v>
      </c>
      <c r="I1673" s="56" t="s">
        <v>19</v>
      </c>
      <c r="J1673" s="56" t="s">
        <v>19</v>
      </c>
      <c r="K1673" s="55" t="str">
        <f t="shared" si="78"/>
        <v>International</v>
      </c>
    </row>
    <row r="1674" hidden="1">
      <c r="A1674" s="34"/>
      <c r="B1674" s="34" t="str">
        <f>IFERROR(__xludf.DUMMYFUNCTION("""COMPUTED_VALUE"""),"Isle of Man [GAZ:00052477]                    ")</f>
        <v>Isle of Man [GAZ:00052477]                    </v>
      </c>
      <c r="C1674" s="34" t="str">
        <f>IFERROR(__xludf.DUMMYFUNCTION("""COMPUTED_VALUE"""),"GAZ:00052477")</f>
        <v>GAZ:00052477</v>
      </c>
      <c r="D1674" s="29" t="str">
        <f>IFERROR(__xludf.DUMMYFUNCTION("""COMPUTED_VALUE"""),"A Crown dependency of the United Kingdom in the centre of the Irish Sea. It is not part of the United Kingdom, European Union or United Nations.")</f>
        <v>A Crown dependency of the United Kingdom in the centre of the Irish Sea. It is not part of the United Kingdom, European Union or United Nations.</v>
      </c>
      <c r="H1674" s="56" t="s">
        <v>19</v>
      </c>
      <c r="I1674" s="56" t="s">
        <v>19</v>
      </c>
      <c r="J1674" s="56" t="s">
        <v>19</v>
      </c>
      <c r="K1674" s="55" t="str">
        <f t="shared" si="78"/>
        <v>International</v>
      </c>
    </row>
    <row r="1675" hidden="1">
      <c r="A1675" s="34"/>
      <c r="B1675" s="34" t="str">
        <f>IFERROR(__xludf.DUMMYFUNCTION("""COMPUTED_VALUE"""),"Israel [GAZ:00002476]                    ")</f>
        <v>Israel [GAZ:00002476]                    </v>
      </c>
      <c r="C1675" s="34" t="str">
        <f>IFERROR(__xludf.DUMMYFUNCTION("""COMPUTED_VALUE"""),"GAZ:00002476")</f>
        <v>GAZ:00002476</v>
      </c>
      <c r="D1675" s="29" t="str">
        <f>IFERROR(__xludf.DUMMYFUNCTION("""COMPUTED_VALUE"""),"A country in Western Asia located on the eastern edge of the Mediterranean Sea. It borders Lebanon in the north, Syria in the northeast, Jordan in the east, and Egypt on the southwest. The West Bank and Gaza Strip, which are partially administrated by the"&amp;" Palestinian National Authority, are also adjacent. The State of Israel is divided into six main administrative districts, known as mehozot (singular mahoz). Districts are further divided into fifteen sub-districts known as nafot (singular: nafa), which a"&amp;"re themselves partitioned into fifty natural regions.")</f>
        <v>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v>
      </c>
      <c r="H1675" s="56" t="s">
        <v>19</v>
      </c>
      <c r="I1675" s="56" t="s">
        <v>19</v>
      </c>
      <c r="J1675" s="56" t="s">
        <v>19</v>
      </c>
      <c r="K1675" s="55" t="str">
        <f t="shared" si="78"/>
        <v>International</v>
      </c>
    </row>
    <row r="1676" hidden="1">
      <c r="A1676" s="34"/>
      <c r="B1676" s="34" t="str">
        <f>IFERROR(__xludf.DUMMYFUNCTION("""COMPUTED_VALUE"""),"Italy [GAZ:00002650]                    ")</f>
        <v>Italy [GAZ:00002650]                    </v>
      </c>
      <c r="C1676" s="34" t="str">
        <f>IFERROR(__xludf.DUMMYFUNCTION("""COMPUTED_VALUE"""),"GAZ:00002650")</f>
        <v>GAZ:00002650</v>
      </c>
      <c r="D1676" s="29" t="str">
        <f>IFERROR(__xludf.DUMMYFUNCTION("""COMPUTED_VALUE"""),"A country located on the Italian Peninsula in Southern Europe, and on the two largest islands in the Mediterranean Sea, Sicily and Sardinia. Italy shares its northern Alpine boundary with France, Switzerland, Austria and Slovenia. The independent states o"&amp;"f San Marino and the Vatican City are enclaves within the Italian Peninsula, while Campione d'Italia is an Italian exclave in Switzerland. Italy is subdivided into 20 regions (regioni, singular regione). Five of these regions have a special autonomous sta"&amp;"tus that enables them to enact legislation on some of their local matters. It is further divided into 109 provinces (province) and 8,101 municipalities (comuni).")</f>
        <v>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v>
      </c>
      <c r="H1676" s="56" t="s">
        <v>19</v>
      </c>
      <c r="I1676" s="56" t="s">
        <v>19</v>
      </c>
      <c r="J1676" s="56" t="s">
        <v>19</v>
      </c>
      <c r="K1676" s="55" t="str">
        <f t="shared" si="78"/>
        <v>International</v>
      </c>
    </row>
    <row r="1677" hidden="1">
      <c r="A1677" s="34"/>
      <c r="B1677" s="34" t="str">
        <f>IFERROR(__xludf.DUMMYFUNCTION("""COMPUTED_VALUE"""),"Jamaica [GAZ:00003781]                    ")</f>
        <v>Jamaica [GAZ:00003781]                    </v>
      </c>
      <c r="C1677" s="34" t="str">
        <f>IFERROR(__xludf.DUMMYFUNCTION("""COMPUTED_VALUE"""),"GAZ:00003781")</f>
        <v>GAZ:00003781</v>
      </c>
      <c r="D1677" s="29" t="str">
        <f>IFERROR(__xludf.DUMMYFUNCTION("""COMPUTED_VALUE"""),"A nation of the Greater Antilles. Jamaica is divided into 14 parishes, which are grouped into three historic counties that have no administrative relevance.")</f>
        <v>A nation of the Greater Antilles. Jamaica is divided into 14 parishes, which are grouped into three historic counties that have no administrative relevance.</v>
      </c>
      <c r="H1677" s="56" t="s">
        <v>19</v>
      </c>
      <c r="I1677" s="56" t="s">
        <v>19</v>
      </c>
      <c r="J1677" s="56" t="s">
        <v>19</v>
      </c>
      <c r="K1677" s="55" t="str">
        <f t="shared" si="78"/>
        <v>International</v>
      </c>
    </row>
    <row r="1678" hidden="1">
      <c r="A1678" s="34"/>
      <c r="B1678" s="34" t="str">
        <f>IFERROR(__xludf.DUMMYFUNCTION("""COMPUTED_VALUE"""),"Jan Mayen [GAZ:00005853]                    ")</f>
        <v>Jan Mayen [GAZ:00005853]                    </v>
      </c>
      <c r="C1678" s="34" t="str">
        <f>IFERROR(__xludf.DUMMYFUNCTION("""COMPUTED_VALUE"""),"GAZ:00005853")</f>
        <v>GAZ:00005853</v>
      </c>
      <c r="D1678" s="29" t="str">
        <f>IFERROR(__xludf.DUMMYFUNCTION("""COMPUTED_VALUE"""),"A volcanic island that is part of the Kingdom of Norway, It has two parts: larger Nord-Jan and smaller Sor-Jan, linked by an isthmus 2.5 km wide. It lies 600 km north of Iceland, 500 km east of Greenland and 1,000 km west of the Norwegian mainland. The is"&amp;"land is mountainous, the highest summit being the Beerenberg volcano in the north. The isthmus is the location of the two largest lakes of the island, Sorlaguna (South Lagoon), and Nordlaguna (North Lagoon). A third lake is called Ullerenglaguna (Ullereng"&amp;" Lagoon). Jan Mayen was formed by the Jan Mayen hotspot.")</f>
        <v>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v>
      </c>
      <c r="H1678" s="56" t="s">
        <v>19</v>
      </c>
      <c r="I1678" s="56" t="s">
        <v>19</v>
      </c>
      <c r="J1678" s="56" t="s">
        <v>19</v>
      </c>
      <c r="K1678" s="55" t="str">
        <f t="shared" si="78"/>
        <v>International</v>
      </c>
    </row>
    <row r="1679" hidden="1">
      <c r="A1679" s="34"/>
      <c r="B1679" s="34" t="str">
        <f>IFERROR(__xludf.DUMMYFUNCTION("""COMPUTED_VALUE"""),"Japan [GAZ:00002747]                    ")</f>
        <v>Japan [GAZ:00002747]                    </v>
      </c>
      <c r="C1679" s="34" t="str">
        <f>IFERROR(__xludf.DUMMYFUNCTION("""COMPUTED_VALUE"""),"GAZ:00002747")</f>
        <v>GAZ:00002747</v>
      </c>
      <c r="D1679" s="29" t="str">
        <f>IFERROR(__xludf.DUMMYFUNCTION("""COMPUTED_VALUE"""),"An island country in East Asia. Located in the Pacific Ocean, it lies to the east of China, Korea and Russia, stretching from the Sea of Okhotsk in the north to the East China Sea in the south.")</f>
        <v>An island country in East Asia. Located in the Pacific Ocean, it lies to the east of China, Korea and Russia, stretching from the Sea of Okhotsk in the north to the East China Sea in the south.</v>
      </c>
      <c r="H1679" s="56" t="s">
        <v>19</v>
      </c>
      <c r="I1679" s="56" t="s">
        <v>19</v>
      </c>
      <c r="J1679" s="56" t="s">
        <v>19</v>
      </c>
      <c r="K1679" s="55" t="str">
        <f t="shared" si="78"/>
        <v>International</v>
      </c>
    </row>
    <row r="1680" hidden="1">
      <c r="A1680" s="34"/>
      <c r="B1680" s="34" t="str">
        <f>IFERROR(__xludf.DUMMYFUNCTION("""COMPUTED_VALUE"""),"Jarvis Island [GAZ:00007118]                    ")</f>
        <v>Jarvis Island [GAZ:00007118]                    </v>
      </c>
      <c r="C1680" s="34" t="str">
        <f>IFERROR(__xludf.DUMMYFUNCTION("""COMPUTED_VALUE"""),"GAZ:00007118")</f>
        <v>GAZ:00007118</v>
      </c>
      <c r="D1680" s="29" t="str">
        <f>IFERROR(__xludf.DUMMYFUNCTION("""COMPUTED_VALUE"""),"An uninhabited 4.5 km2 coral atoll located in the South Pacific Ocean about halfway between Hawaii and the Cook Islands. It is an unincorporated territory of the United States administered from Washington, DC by the United States Fish and Wildlife Service"&amp;" of the United States Department of the Interior as part of the National Wildlife Refuge system. Jarvis is one of the southern Line Islands and for statistical purposes is also grouped as one of the United States Minor Outlying Islands. Sits atop the Jarv"&amp;"is Seamount.")</f>
        <v>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v>
      </c>
      <c r="H1680" s="56" t="s">
        <v>19</v>
      </c>
      <c r="I1680" s="56" t="s">
        <v>19</v>
      </c>
      <c r="J1680" s="56" t="s">
        <v>19</v>
      </c>
      <c r="K1680" s="55" t="str">
        <f t="shared" si="78"/>
        <v>International</v>
      </c>
    </row>
    <row r="1681" hidden="1">
      <c r="A1681" s="34"/>
      <c r="B1681" s="34" t="str">
        <f>IFERROR(__xludf.DUMMYFUNCTION("""COMPUTED_VALUE"""),"Jersey [GAZ:00001551]                    ")</f>
        <v>Jersey [GAZ:00001551]                    </v>
      </c>
      <c r="C1681" s="34" t="str">
        <f>IFERROR(__xludf.DUMMYFUNCTION("""COMPUTED_VALUE"""),"GAZ:00001551")</f>
        <v>GAZ:00001551</v>
      </c>
      <c r="D1681" s="29" t="str">
        <f>IFERROR(__xludf.DUMMYFUNCTION("""COMPUTED_VALUE"""),"A British Crown Dependency[6] off the coast of Normandy, France. As well as the island of Jersey itself, the bailiwick includes two groups of small islands that are no longer permanently inhabited, the Minquiers and Ecrehous, and the Pierres de Lecq.")</f>
        <v>A British Crown Dependency[6] off the coast of Normandy, France. As well as the island of Jersey itself, the bailiwick includes two groups of small islands that are no longer permanently inhabited, the Minquiers and Ecrehous, and the Pierres de Lecq.</v>
      </c>
      <c r="H1681" s="56" t="s">
        <v>19</v>
      </c>
      <c r="I1681" s="56" t="s">
        <v>19</v>
      </c>
      <c r="J1681" s="56" t="s">
        <v>19</v>
      </c>
      <c r="K1681" s="55" t="str">
        <f t="shared" si="78"/>
        <v>International</v>
      </c>
    </row>
    <row r="1682" hidden="1">
      <c r="A1682" s="34"/>
      <c r="B1682" s="34" t="str">
        <f>IFERROR(__xludf.DUMMYFUNCTION("""COMPUTED_VALUE"""),"Johnston Atoll [GAZ:00007114]                    ")</f>
        <v>Johnston Atoll [GAZ:00007114]                    </v>
      </c>
      <c r="C1682" s="34" t="str">
        <f>IFERROR(__xludf.DUMMYFUNCTION("""COMPUTED_VALUE"""),"GAZ:00007114")</f>
        <v>GAZ:00007114</v>
      </c>
      <c r="D1682" s="29" t="str">
        <f>IFERROR(__xludf.DUMMYFUNCTION("""COMPUTED_VALUE"""),"A 130 km2 atoll in the North Pacific Ocean about 1400 km (750 nm) west of Hawaii. There are four islands located on the coral reef platform, two natural islands, Johnston Island and Sand Island, which have been expanded by coral dredging, as well as North"&amp;" Island (Akau) and East Island (Hikina), artificial islands formed from coral dredging. Johnston is an unincorporated territory of the United States, administered by the US Fish and Wildlife Service of the Department of the Interior as part of the United "&amp;"States Pacific Island Wildlife Refuges. Sits atop Johnston Seamount.")</f>
        <v>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v>
      </c>
      <c r="H1682" s="56" t="s">
        <v>19</v>
      </c>
      <c r="I1682" s="56" t="s">
        <v>19</v>
      </c>
      <c r="J1682" s="56" t="s">
        <v>19</v>
      </c>
      <c r="K1682" s="55" t="str">
        <f t="shared" si="78"/>
        <v>International</v>
      </c>
    </row>
    <row r="1683" hidden="1">
      <c r="A1683" s="34"/>
      <c r="B1683" s="34" t="str">
        <f>IFERROR(__xludf.DUMMYFUNCTION("""COMPUTED_VALUE"""),"Jordan [GAZ:00002473]                    ")</f>
        <v>Jordan [GAZ:00002473]                    </v>
      </c>
      <c r="C1683" s="34" t="str">
        <f>IFERROR(__xludf.DUMMYFUNCTION("""COMPUTED_VALUE"""),"GAZ:00002473")</f>
        <v>GAZ:00002473</v>
      </c>
      <c r="D1683" s="29" t="str">
        <f>IFERROR(__xludf.DUMMYFUNCTION("""COMPUTED_VALUE"""),"A country in Southwest Asia, bordered by Syria to the north, Iraq to the north-east, Israel and the West Bank to the west, and Saudi Arabia to the east and south. It shares the coastlines of the Dead Sea, and the Gulf of Aqaba with Israel, Saudi Arabia, a"&amp;"nd Egypt. Jordan is divided into 12 provinces called governorates. The Governorates are subdivided into approximately fifty-two nahias.")</f>
        <v>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v>
      </c>
      <c r="H1683" s="56" t="s">
        <v>19</v>
      </c>
      <c r="I1683" s="56" t="s">
        <v>19</v>
      </c>
      <c r="J1683" s="56" t="s">
        <v>19</v>
      </c>
      <c r="K1683" s="55" t="str">
        <f t="shared" si="78"/>
        <v>International</v>
      </c>
    </row>
    <row r="1684" hidden="1">
      <c r="A1684" s="34"/>
      <c r="B1684" s="34" t="str">
        <f>IFERROR(__xludf.DUMMYFUNCTION("""COMPUTED_VALUE"""),"Juan de Nova Island [GAZ:00005809]                    ")</f>
        <v>Juan de Nova Island [GAZ:00005809]                    </v>
      </c>
      <c r="C1684" s="34" t="str">
        <f>IFERROR(__xludf.DUMMYFUNCTION("""COMPUTED_VALUE"""),"GAZ:00005809")</f>
        <v>GAZ:00005809</v>
      </c>
      <c r="D1684" s="29" t="str">
        <f>IFERROR(__xludf.DUMMYFUNCTION("""COMPUTED_VALUE"""),"A 4.4 km2 low, flat, tropical island in the narrowest part of the Mozambique Channel, about one-third of the way between Madagascar and Mozambique.")</f>
        <v>A 4.4 km2 low, flat, tropical island in the narrowest part of the Mozambique Channel, about one-third of the way between Madagascar and Mozambique.</v>
      </c>
      <c r="H1684" s="56" t="s">
        <v>19</v>
      </c>
      <c r="I1684" s="56" t="s">
        <v>19</v>
      </c>
      <c r="J1684" s="56" t="s">
        <v>19</v>
      </c>
      <c r="K1684" s="55" t="str">
        <f t="shared" si="78"/>
        <v>International</v>
      </c>
    </row>
    <row r="1685" hidden="1">
      <c r="A1685" s="34"/>
      <c r="B1685" s="34" t="str">
        <f>IFERROR(__xludf.DUMMYFUNCTION("""COMPUTED_VALUE"""),"Kazakhstan [GAZ:00004999]                    ")</f>
        <v>Kazakhstan [GAZ:00004999]                    </v>
      </c>
      <c r="C1685" s="34" t="str">
        <f>IFERROR(__xludf.DUMMYFUNCTION("""COMPUTED_VALUE"""),"GAZ:00004999")</f>
        <v>GAZ:00004999</v>
      </c>
      <c r="D1685" s="29" t="str">
        <f>IFERROR(__xludf.DUMMYFUNCTION("""COMPUTED_VALUE"""),"A country in Central Asia and Europe. It is bordered by Russia, Kyrgyzstan, Turkmenistan, Uzbekistan and China. The country also borders on a significant part of the Caspian Sea. Kazakhstan is divided into 14 provinces and two municipal districts. The pro"&amp;"vinces of Kazakhstan are divided into raions.")</f>
        <v>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v>
      </c>
      <c r="H1685" s="56" t="s">
        <v>19</v>
      </c>
      <c r="I1685" s="56" t="s">
        <v>19</v>
      </c>
      <c r="J1685" s="56" t="s">
        <v>19</v>
      </c>
      <c r="K1685" s="55" t="str">
        <f t="shared" si="78"/>
        <v>International</v>
      </c>
    </row>
    <row r="1686" hidden="1">
      <c r="A1686" s="34"/>
      <c r="B1686" s="34" t="str">
        <f>IFERROR(__xludf.DUMMYFUNCTION("""COMPUTED_VALUE"""),"Kenya [GAZ:00001101]                    ")</f>
        <v>Kenya [GAZ:00001101]                    </v>
      </c>
      <c r="C1686" s="34" t="str">
        <f>IFERROR(__xludf.DUMMYFUNCTION("""COMPUTED_VALUE"""),"GAZ:00001101")</f>
        <v>GAZ:00001101</v>
      </c>
      <c r="D1686" s="29" t="str">
        <f>IFERROR(__xludf.DUMMYFUNCTION("""COMPUTED_VALUE"""),"A country in Eastern Africa. It is bordered by Ethiopia to the north, Somalia to the east, Tanzania to the south, Uganda to the west, and Sudan to the northwest, with the Indian Ocean running along the southeast border. Kenya comprises eight provinces eac"&amp;"h headed by a Provincial Commissioner (centrally appointed by the president). The provinces (mkoa singular mikoa plural in Swahili) are subdivided into districts (wilaya). There were 69 districts as of 1999 census. Districts are then subdivided into 497 d"&amp;"ivisions (taarafa). The divisions are then subdivided into 2,427 locations (kata) and then 6,612 sublocations (kata ndogo). The City of Nairobi enjoys the status of a full administrative province.")</f>
        <v>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v>
      </c>
      <c r="H1686" s="56" t="s">
        <v>19</v>
      </c>
      <c r="I1686" s="56" t="s">
        <v>19</v>
      </c>
      <c r="J1686" s="56" t="s">
        <v>19</v>
      </c>
      <c r="K1686" s="55" t="str">
        <f t="shared" si="78"/>
        <v>International</v>
      </c>
    </row>
    <row r="1687" hidden="1">
      <c r="A1687" s="34"/>
      <c r="B1687" s="34" t="str">
        <f>IFERROR(__xludf.DUMMYFUNCTION("""COMPUTED_VALUE"""),"Kerguelen Archipelago [GAZ:00005682]                    ")</f>
        <v>Kerguelen Archipelago [GAZ:00005682]                    </v>
      </c>
      <c r="C1687" s="34" t="str">
        <f>IFERROR(__xludf.DUMMYFUNCTION("""COMPUTED_VALUE"""),"GAZ:00005682")</f>
        <v>GAZ:00005682</v>
      </c>
      <c r="D1687" s="29" t="str">
        <f>IFERROR(__xludf.DUMMYFUNCTION("""COMPUTED_VALUE"""),"A group of islands in the southern Indian Ocean. It is a territory of France. They are composed primarily of Tertiary flood basalts and a complex of plutonic rocks. The trachybasaltic-to-trachytic Mount Ross stratovolcano at the southern end was active du"&amp;"ring the late Pleistocene. The Rallier du Baty Peninsula on the SW tip of the island contains two youthful subglacial eruptive centers, Mont St. Allouarn and Mont Henri Rallier du Baty. An active fumarole field is related to a series of Holocene trachytic"&amp;" lava flows and lahars that extend beyond the icecap.")</f>
        <v>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v>
      </c>
      <c r="H1687" s="56" t="s">
        <v>19</v>
      </c>
      <c r="I1687" s="56" t="s">
        <v>19</v>
      </c>
      <c r="J1687" s="56" t="s">
        <v>19</v>
      </c>
      <c r="K1687" s="55" t="str">
        <f t="shared" si="78"/>
        <v>International</v>
      </c>
    </row>
    <row r="1688" hidden="1">
      <c r="A1688" s="34"/>
      <c r="B1688" s="34" t="str">
        <f>IFERROR(__xludf.DUMMYFUNCTION("""COMPUTED_VALUE"""),"Kingman Reef [GAZ:00007116]                    ")</f>
        <v>Kingman Reef [GAZ:00007116]                    </v>
      </c>
      <c r="C1688" s="34" t="str">
        <f>IFERROR(__xludf.DUMMYFUNCTION("""COMPUTED_VALUE"""),"GAZ:00007116")</f>
        <v>GAZ:00007116</v>
      </c>
      <c r="D1688" s="29" t="str">
        <f>IFERROR(__xludf.DUMMYFUNCTION("""COMPUTED_VALUE"""),"A largely submerged, uninhabited tropical atoll located in the North Pacific Ocean, roughly half way between Hawaiian Islands and American Samoa. It is the northernmost of the Northern Line Islands and lies 65 km NNW of Palmyra Atoll, the next closest isl"&amp;"and, and has the status of an unincorporated territory of the United States, administered from Washington, DC by the US Navy. Sits atop Kingman Reef Seamount.")</f>
        <v>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v>
      </c>
      <c r="H1688" s="56" t="s">
        <v>19</v>
      </c>
      <c r="I1688" s="56" t="s">
        <v>19</v>
      </c>
      <c r="J1688" s="56" t="s">
        <v>19</v>
      </c>
      <c r="K1688" s="55" t="str">
        <f t="shared" si="78"/>
        <v>International</v>
      </c>
    </row>
    <row r="1689" hidden="1">
      <c r="A1689" s="34"/>
      <c r="B1689" s="34" t="str">
        <f>IFERROR(__xludf.DUMMYFUNCTION("""COMPUTED_VALUE"""),"Kiribati [GAZ:00006894]                    ")</f>
        <v>Kiribati [GAZ:00006894]                    </v>
      </c>
      <c r="C1689" s="34" t="str">
        <f>IFERROR(__xludf.DUMMYFUNCTION("""COMPUTED_VALUE"""),"GAZ:00006894")</f>
        <v>GAZ:00006894</v>
      </c>
      <c r="D1689" s="29" t="str">
        <f>IFERROR(__xludf.DUMMYFUNCTION("""COMPUTED_VALUE"""),"An island nation located in the central tropical Pacific Ocean. It is composed of 32 atolls and one raised coral island dispersed over 3,500,000 km2 straddling the equator and bordering the International Date Line to the east. It is divided into three isl"&amp;"and groups which have no administrative function, including a group which unites the Line Islands and the Phoenix Islands (ministry at London, Christmas). Each inhabited island has its own council (three councils on Tarawa: Betio, South-Tarawa, North-Tara"&amp;"wa; two councils on Tabiteuea).")</f>
        <v>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v>
      </c>
      <c r="H1689" s="56" t="s">
        <v>19</v>
      </c>
      <c r="I1689" s="56" t="s">
        <v>19</v>
      </c>
      <c r="J1689" s="56" t="s">
        <v>19</v>
      </c>
      <c r="K1689" s="55" t="str">
        <f t="shared" si="78"/>
        <v>International</v>
      </c>
    </row>
    <row r="1690" hidden="1">
      <c r="A1690" s="34"/>
      <c r="B1690" s="34" t="str">
        <f>IFERROR(__xludf.DUMMYFUNCTION("""COMPUTED_VALUE"""),"Kosovo [GAZ:00011337]                    ")</f>
        <v>Kosovo [GAZ:00011337]                    </v>
      </c>
      <c r="C1690" s="34" t="str">
        <f>IFERROR(__xludf.DUMMYFUNCTION("""COMPUTED_VALUE"""),"GAZ:00011337")</f>
        <v>GAZ:00011337</v>
      </c>
      <c r="D1690" s="29" t="str">
        <f>IFERROR(__xludf.DUMMYFUNCTION("""COMPUTED_VALUE"""),"A country on the Balkan Peninsula. Kosovo borders Central Serbia to the north and east, Montenegro to the northwest, Albania to the west and the Republic of Macedonia to the south. Kosovo is divided into 7 districts (Rreth) and 30 municipalities. Serbia d"&amp;"oes not recognise the unilateral secession of Kosovo[8] and considers it a United Nations-governed entity within its sovereign territory, the Autonomous Province of Kosovo and Metohija.")</f>
        <v>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v>
      </c>
      <c r="H1690" s="56" t="s">
        <v>19</v>
      </c>
      <c r="I1690" s="56" t="s">
        <v>19</v>
      </c>
      <c r="J1690" s="56" t="s">
        <v>19</v>
      </c>
      <c r="K1690" s="55" t="str">
        <f t="shared" si="78"/>
        <v>International</v>
      </c>
    </row>
    <row r="1691" hidden="1">
      <c r="A1691" s="34"/>
      <c r="B1691" s="34" t="str">
        <f>IFERROR(__xludf.DUMMYFUNCTION("""COMPUTED_VALUE"""),"Kuwait [GAZ:00005285]                    ")</f>
        <v>Kuwait [GAZ:00005285]                    </v>
      </c>
      <c r="C1691" s="34" t="str">
        <f>IFERROR(__xludf.DUMMYFUNCTION("""COMPUTED_VALUE"""),"GAZ:00005285")</f>
        <v>GAZ:00005285</v>
      </c>
      <c r="D1691" s="29" t="str">
        <f>IFERROR(__xludf.DUMMYFUNCTION("""COMPUTED_VALUE"""),"A sovereign emirate on the coast of the Persian Gulf, enclosed by Saudi Arabia to the south and Iraq to the north and west. Kuwait is divided into six governorates (muhafazat, singular muhafadhah).")</f>
        <v>A sovereign emirate on the coast of the Persian Gulf, enclosed by Saudi Arabia to the south and Iraq to the north and west. Kuwait is divided into six governorates (muhafazat, singular muhafadhah).</v>
      </c>
      <c r="H1691" s="56" t="s">
        <v>19</v>
      </c>
      <c r="I1691" s="56" t="s">
        <v>19</v>
      </c>
      <c r="J1691" s="56" t="s">
        <v>19</v>
      </c>
      <c r="K1691" s="55" t="str">
        <f t="shared" si="78"/>
        <v>International</v>
      </c>
    </row>
    <row r="1692" hidden="1">
      <c r="A1692" s="34"/>
      <c r="B1692" s="34" t="str">
        <f>IFERROR(__xludf.DUMMYFUNCTION("""COMPUTED_VALUE"""),"Kyrgyzstan [GAZ:00006893]                    ")</f>
        <v>Kyrgyzstan [GAZ:00006893]                    </v>
      </c>
      <c r="C1692" s="34" t="str">
        <f>IFERROR(__xludf.DUMMYFUNCTION("""COMPUTED_VALUE"""),"GAZ:00006893")</f>
        <v>GAZ:00006893</v>
      </c>
      <c r="D1692" s="29" t="str">
        <f>IFERROR(__xludf.DUMMYFUNCTION("""COMPUTED_VALUE"""),"A country in Central Asia. Landlocked and mountainous, it is bordered by Kazakhstan to the north, Uzbekistan to the west, Tajikistan to the southwest and China to the east. Kyrgyzstan is divided into seven provinces (oblast. The capital, Bishkek, and the "&amp;"second large city Osh are administratively the independent cities (shaar) with a status equal to a province. Each province comprises a number of districts (raions).")</f>
        <v>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v>
      </c>
      <c r="H1692" s="56" t="s">
        <v>19</v>
      </c>
      <c r="I1692" s="56" t="s">
        <v>19</v>
      </c>
      <c r="J1692" s="56" t="s">
        <v>19</v>
      </c>
      <c r="K1692" s="55" t="str">
        <f t="shared" si="78"/>
        <v>International</v>
      </c>
    </row>
    <row r="1693" hidden="1">
      <c r="A1693" s="34"/>
      <c r="B1693" s="34" t="str">
        <f>IFERROR(__xludf.DUMMYFUNCTION("""COMPUTED_VALUE"""),"Laos [GAZ:00006889]                    ")</f>
        <v>Laos [GAZ:00006889]                    </v>
      </c>
      <c r="C1693" s="34" t="str">
        <f>IFERROR(__xludf.DUMMYFUNCTION("""COMPUTED_VALUE"""),"GAZ:00006889")</f>
        <v>GAZ:00006889</v>
      </c>
      <c r="D1693" s="29" t="str">
        <f>IFERROR(__xludf.DUMMYFUNCTION("""COMPUTED_VALUE"""),"A landlocked country in southeast Asia, bordered by Burma (Myanmar) and China to the northwest, Vietnam to the east, Cambodia to the south, and Thailand to the west. Laos is divided into sixteen provinces (qwang) and Vientiane Capital (Na Kone Luang Vient"&amp;"iane). The provinces further divided into districts (muang).")</f>
        <v>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v>
      </c>
      <c r="H1693" s="56" t="s">
        <v>19</v>
      </c>
      <c r="I1693" s="56" t="s">
        <v>19</v>
      </c>
      <c r="J1693" s="56" t="s">
        <v>19</v>
      </c>
      <c r="K1693" s="55" t="str">
        <f t="shared" si="78"/>
        <v>International</v>
      </c>
    </row>
    <row r="1694" hidden="1">
      <c r="A1694" s="34"/>
      <c r="B1694" s="34" t="str">
        <f>IFERROR(__xludf.DUMMYFUNCTION("""COMPUTED_VALUE"""),"Latvia [GAZ:00002958]                    ")</f>
        <v>Latvia [GAZ:00002958]                    </v>
      </c>
      <c r="C1694" s="34" t="str">
        <f>IFERROR(__xludf.DUMMYFUNCTION("""COMPUTED_VALUE"""),"GAZ:00002958")</f>
        <v>GAZ:00002958</v>
      </c>
      <c r="D1694" s="29" t="str">
        <f>IFERROR(__xludf.DUMMYFUNCTION("""COMPUTED_VALUE"""),"A country in Northern Europe. Latvia shares land borders with Estonia to the north and Lithuania to the south, and both Russia and Belarus to the east. It is separated from Sweden in the west by the Baltic Sea. The capital of Latvia is Riga. Latvia is div"&amp;"ided into 26 districts (raioni). There are also seven cities (lielpilsetas) that have a separate status. Latvia is also historically, culturally and constitutionally divided in four or more distinct regions.")</f>
        <v>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v>
      </c>
      <c r="H1694" s="56" t="s">
        <v>19</v>
      </c>
      <c r="I1694" s="56" t="s">
        <v>19</v>
      </c>
      <c r="J1694" s="56" t="s">
        <v>19</v>
      </c>
      <c r="K1694" s="55" t="str">
        <f t="shared" si="78"/>
        <v>International</v>
      </c>
    </row>
    <row r="1695" hidden="1">
      <c r="A1695" s="34"/>
      <c r="B1695" s="34" t="str">
        <f>IFERROR(__xludf.DUMMYFUNCTION("""COMPUTED_VALUE"""),"Lebanon [GAZ:00002478]                    ")</f>
        <v>Lebanon [GAZ:00002478]                    </v>
      </c>
      <c r="C1695" s="34" t="str">
        <f>IFERROR(__xludf.DUMMYFUNCTION("""COMPUTED_VALUE"""),"GAZ:00002478")</f>
        <v>GAZ:00002478</v>
      </c>
      <c r="D1695" s="29" t="str">
        <f>IFERROR(__xludf.DUMMYFUNCTION("""COMPUTED_VALUE"""),"A small, mostly mountainous country in Western Asia, on the eastern shore of the Mediterranean Sea. It is bordered by Syria to the north and east, and Israel to the south. Lebanon is divided into six governorates (mohaafazaat, which are further subdivided"&amp;" into twenty-five districts (aqdya, singular: qadaa).")</f>
        <v>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v>
      </c>
      <c r="H1695" s="56" t="s">
        <v>19</v>
      </c>
      <c r="I1695" s="56" t="s">
        <v>19</v>
      </c>
      <c r="J1695" s="56" t="s">
        <v>19</v>
      </c>
      <c r="K1695" s="55" t="str">
        <f t="shared" si="78"/>
        <v>International</v>
      </c>
    </row>
    <row r="1696" hidden="1">
      <c r="A1696" s="34"/>
      <c r="B1696" s="34" t="str">
        <f>IFERROR(__xludf.DUMMYFUNCTION("""COMPUTED_VALUE"""),"Lesotho [GAZ:00001098]                    ")</f>
        <v>Lesotho [GAZ:00001098]                    </v>
      </c>
      <c r="C1696" s="34" t="str">
        <f>IFERROR(__xludf.DUMMYFUNCTION("""COMPUTED_VALUE"""),"GAZ:00001098")</f>
        <v>GAZ:00001098</v>
      </c>
      <c r="D1696" s="29" t="str">
        <f>IFERROR(__xludf.DUMMYFUNCTION("""COMPUTED_VALUE"""),"A land-locked country, entirely surrounded by the Republic of South Africa. Lesotho is divided into ten districts; these are further subdivided into 80 constituencies, which consists of 129 local community councils.")</f>
        <v>A land-locked country, entirely surrounded by the Republic of South Africa. Lesotho is divided into ten districts; these are further subdivided into 80 constituencies, which consists of 129 local community councils.</v>
      </c>
      <c r="H1696" s="56" t="s">
        <v>19</v>
      </c>
      <c r="I1696" s="56" t="s">
        <v>19</v>
      </c>
      <c r="J1696" s="56" t="s">
        <v>19</v>
      </c>
      <c r="K1696" s="55" t="str">
        <f t="shared" si="78"/>
        <v>International</v>
      </c>
    </row>
    <row r="1697" hidden="1">
      <c r="A1697" s="34"/>
      <c r="B1697" s="34" t="str">
        <f>IFERROR(__xludf.DUMMYFUNCTION("""COMPUTED_VALUE"""),"Liberia [GAZ:00000911]                    ")</f>
        <v>Liberia [GAZ:00000911]                    </v>
      </c>
      <c r="C1697" s="34" t="str">
        <f>IFERROR(__xludf.DUMMYFUNCTION("""COMPUTED_VALUE"""),"GAZ:00000911")</f>
        <v>GAZ:00000911</v>
      </c>
      <c r="D1697" s="29" t="str">
        <f>IFERROR(__xludf.DUMMYFUNCTION("""COMPUTED_VALUE"""),"A country on the west coast of Africa, bordered by Sierra Leone, Guinea, Cote d'Ivoire, and the Atlantic Ocean.")</f>
        <v>A country on the west coast of Africa, bordered by Sierra Leone, Guinea, Cote d'Ivoire, and the Atlantic Ocean.</v>
      </c>
      <c r="H1697" s="56" t="s">
        <v>19</v>
      </c>
      <c r="I1697" s="56" t="s">
        <v>19</v>
      </c>
      <c r="J1697" s="56" t="s">
        <v>19</v>
      </c>
      <c r="K1697" s="55" t="str">
        <f t="shared" si="78"/>
        <v>International</v>
      </c>
    </row>
    <row r="1698" hidden="1">
      <c r="A1698" s="34"/>
      <c r="B1698" s="34" t="str">
        <f>IFERROR(__xludf.DUMMYFUNCTION("""COMPUTED_VALUE"""),"Libya [GAZ:00000566]                    ")</f>
        <v>Libya [GAZ:00000566]                    </v>
      </c>
      <c r="C1698" s="34" t="str">
        <f>IFERROR(__xludf.DUMMYFUNCTION("""COMPUTED_VALUE"""),"GAZ:00000566")</f>
        <v>GAZ:00000566</v>
      </c>
      <c r="D1698" s="29" t="str">
        <f>IFERROR(__xludf.DUMMYFUNCTION("""COMPUTED_VALUE"""),"A country in North Africa. Bordering the Mediterranean Sea to the north, Libya lies between Egypt to the east, Sudan to the southeast, Chad and Niger to the south, and Algeria and Tunisia to the west. There are thirty-four municipalities of Libya, known b"&amp;"y the Arabic term sha'biyat (singular sha'biyah). These came recently (in the 1990s to replaced old Baladiyat systam. The Baladiyat system in turn was introduced to replace the system of muhafazah (governorates or provinces) that existed from the 1960s to"&amp;" the 1970s.")</f>
        <v>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v>
      </c>
      <c r="H1698" s="56" t="s">
        <v>19</v>
      </c>
      <c r="I1698" s="56" t="s">
        <v>19</v>
      </c>
      <c r="J1698" s="56" t="s">
        <v>19</v>
      </c>
      <c r="K1698" s="55" t="str">
        <f t="shared" si="78"/>
        <v>International</v>
      </c>
    </row>
    <row r="1699" hidden="1">
      <c r="A1699" s="34"/>
      <c r="B1699" s="34" t="str">
        <f>IFERROR(__xludf.DUMMYFUNCTION("""COMPUTED_VALUE"""),"Liechtenstein [GAZ:00003858]                    ")</f>
        <v>Liechtenstein [GAZ:00003858]                    </v>
      </c>
      <c r="C1699" s="34" t="str">
        <f>IFERROR(__xludf.DUMMYFUNCTION("""COMPUTED_VALUE"""),"GAZ:00003858")</f>
        <v>GAZ:00003858</v>
      </c>
      <c r="D1699" s="29" t="str">
        <f>IFERROR(__xludf.DUMMYFUNCTION("""COMPUTED_VALUE"""),"A tiny, doubly landlocked alpine country in Western Europe, bordered by Switzerland to its west and by Austria to its east. The principality of Liechtenstein is divided into 11 municipalities called Gemeinden (singular Gemeinde). The Gemeinden mostly cons"&amp;"ist only of a single town. Five of them fall within the electoral district Unterland (the lower county), and the remainder within Oberland (the upper county).")</f>
        <v>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v>
      </c>
      <c r="H1699" s="56" t="s">
        <v>19</v>
      </c>
      <c r="I1699" s="56" t="s">
        <v>19</v>
      </c>
      <c r="J1699" s="56" t="s">
        <v>19</v>
      </c>
      <c r="K1699" s="55" t="str">
        <f t="shared" si="78"/>
        <v>International</v>
      </c>
    </row>
    <row r="1700" hidden="1">
      <c r="A1700" s="34"/>
      <c r="B1700" s="34" t="str">
        <f>IFERROR(__xludf.DUMMYFUNCTION("""COMPUTED_VALUE"""),"Line Islands [GAZ:00007144]                    ")</f>
        <v>Line Islands [GAZ:00007144]                    </v>
      </c>
      <c r="C1700" s="34" t="str">
        <f>IFERROR(__xludf.DUMMYFUNCTION("""COMPUTED_VALUE"""),"GAZ:00007144")</f>
        <v>GAZ:00007144</v>
      </c>
      <c r="D1700" s="29" t="str">
        <f>IFERROR(__xludf.DUMMYFUNCTION("""COMPUTED_VALUE"""),"A group of eleven atolls and low coral islands in the central Pacific Ocean south of the Hawaiian Islands, eight of which belong to Kiribati, while three are United States territories that are grouped with the United States Minor Outlying Islands.")</f>
        <v>A group of eleven atolls and low coral islands in the central Pacific Ocean south of the Hawaiian Islands, eight of which belong to Kiribati, while three are United States territories that are grouped with the United States Minor Outlying Islands.</v>
      </c>
      <c r="H1700" s="56" t="s">
        <v>19</v>
      </c>
      <c r="I1700" s="56" t="s">
        <v>19</v>
      </c>
      <c r="J1700" s="56" t="s">
        <v>19</v>
      </c>
      <c r="K1700" s="55" t="str">
        <f t="shared" si="78"/>
        <v>International</v>
      </c>
    </row>
    <row r="1701" hidden="1">
      <c r="A1701" s="34"/>
      <c r="B1701" s="34" t="str">
        <f>IFERROR(__xludf.DUMMYFUNCTION("""COMPUTED_VALUE"""),"Lithuania [GAZ:00002960]                    ")</f>
        <v>Lithuania [GAZ:00002960]                    </v>
      </c>
      <c r="C1701" s="34" t="str">
        <f>IFERROR(__xludf.DUMMYFUNCTION("""COMPUTED_VALUE"""),"GAZ:00002960")</f>
        <v>GAZ:00002960</v>
      </c>
      <c r="D1701" s="29" t="str">
        <f>IFERROR(__xludf.DUMMYFUNCTION("""COMPUTED_VALUE"""),"A country located along the south-eastern shore of the Baltic Sea, sharing borders with Latvia to the north, Belarus to the southeast, Poland, and the Russian exclave of the Kaliningrad Oblast to the southwest. Lithuania has a three-tier administrative di"&amp;"vision: the country is divided into 10 counties (singular apskritis, plural, apskritys) that are further subdivided into 60 municipalities (singular savivaldybe, plural savivaldybes) which consist of over 500 elderates (singular seniunija, plural seniunij"&amp;"os).")</f>
        <v>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v>
      </c>
      <c r="H1701" s="56" t="s">
        <v>19</v>
      </c>
      <c r="I1701" s="56" t="s">
        <v>19</v>
      </c>
      <c r="J1701" s="56" t="s">
        <v>19</v>
      </c>
      <c r="K1701" s="55" t="str">
        <f t="shared" si="78"/>
        <v>International</v>
      </c>
    </row>
    <row r="1702" hidden="1">
      <c r="A1702" s="34"/>
      <c r="B1702" s="34" t="str">
        <f>IFERROR(__xludf.DUMMYFUNCTION("""COMPUTED_VALUE"""),"Luxembourg [GAZ:00002947]                    ")</f>
        <v>Luxembourg [GAZ:00002947]                    </v>
      </c>
      <c r="C1702" s="34" t="str">
        <f>IFERROR(__xludf.DUMMYFUNCTION("""COMPUTED_VALUE"""),"GAZ:00002947")</f>
        <v>GAZ:00002947</v>
      </c>
      <c r="D1702" s="29" t="str">
        <f>IFERROR(__xludf.DUMMYFUNCTION("""COMPUTED_VALUE"""),"A small landlocked country in western Europe, bordered by Belgium, France, and Germany. Luxembourg is divided into 3 districts, which are further divided into 12 cantons and then 116 communes. Twelve of the communes have city status, of which the city of "&amp;"Luxembourg is the largest.")</f>
        <v>A small landlocked country in western Europe, bordered by Belgium, France, and Germany. Luxembourg is divided into 3 districts, which are further divided into 12 cantons and then 116 communes. Twelve of the communes have city status, of which the city of Luxembourg is the largest.</v>
      </c>
      <c r="H1702" s="56" t="s">
        <v>19</v>
      </c>
      <c r="I1702" s="56" t="s">
        <v>19</v>
      </c>
      <c r="J1702" s="56" t="s">
        <v>19</v>
      </c>
      <c r="K1702" s="55" t="str">
        <f t="shared" si="78"/>
        <v>International</v>
      </c>
    </row>
    <row r="1703" hidden="1">
      <c r="A1703" s="34"/>
      <c r="B1703" s="34" t="str">
        <f>IFERROR(__xludf.DUMMYFUNCTION("""COMPUTED_VALUE"""),"Macau [GAZ:00003202]                    ")</f>
        <v>Macau [GAZ:00003202]                    </v>
      </c>
      <c r="C1703" s="34" t="str">
        <f>IFERROR(__xludf.DUMMYFUNCTION("""COMPUTED_VALUE"""),"GAZ:00003202")</f>
        <v>GAZ:00003202</v>
      </c>
      <c r="D1703" s="29" t="str">
        <f>IFERROR(__xludf.DUMMYFUNCTION("""COMPUTED_VALUE"""),"One of the two special administrative regions of the People's Republic of China, the other being Hong Kong. Macau lies on the western side of the Pearl River Delta, bordering Guangdong province in the north and facing the South China Sea in the east and s"&amp;"outh. Macau is situated 60 kmsouthwest of Hong Kong and 145 km from Guangzhou. It consists of the Macau Peninsula itself and the islands of Taipa and Coloane. The peninsula is formed by the Zhujiang (Pearl River) estuary on the east and the Xijiang (West "&amp;"River) on the west. It borders the Zhuhai Special Economic Zone in mainland China.")</f>
        <v>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v>
      </c>
      <c r="H1703" s="56" t="s">
        <v>19</v>
      </c>
      <c r="I1703" s="56" t="s">
        <v>19</v>
      </c>
      <c r="J1703" s="56" t="s">
        <v>19</v>
      </c>
      <c r="K1703" s="55" t="str">
        <f t="shared" si="78"/>
        <v>International</v>
      </c>
    </row>
    <row r="1704" hidden="1">
      <c r="A1704" s="34"/>
      <c r="B1704" s="34" t="str">
        <f>IFERROR(__xludf.DUMMYFUNCTION("""COMPUTED_VALUE"""),"Madagascar [GAZ:00001108]                    ")</f>
        <v>Madagascar [GAZ:00001108]                    </v>
      </c>
      <c r="C1704" s="34" t="str">
        <f>IFERROR(__xludf.DUMMYFUNCTION("""COMPUTED_VALUE"""),"GAZ:00001108")</f>
        <v>GAZ:00001108</v>
      </c>
      <c r="D1704" s="29" t="str">
        <f>IFERROR(__xludf.DUMMYFUNCTION("""COMPUTED_VALUE"""),"An island nation in the Indian Ocean off the southeastern coast of Africa. The main island, also called Madagascar, is the fourth largest island in the world, and is home to 5% of the world's plant and animal species, of which more than 80% are endemic to"&amp;" Madagascar. Most notable are the lemur infraorder of primates, the carnivorous fossa, three endemic bird families and six endemic baobab species. Madagascar is divided into six autonomous provinces (faritany mizakatena), and 22 regions. The regions are f"&amp;"urther subdivided into 116 districts, 1,548 communes, and 16,969 fokontany.")</f>
        <v>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v>
      </c>
      <c r="H1704" s="56" t="s">
        <v>19</v>
      </c>
      <c r="I1704" s="56" t="s">
        <v>19</v>
      </c>
      <c r="J1704" s="56" t="s">
        <v>19</v>
      </c>
      <c r="K1704" s="55" t="str">
        <f t="shared" si="78"/>
        <v>International</v>
      </c>
    </row>
    <row r="1705" hidden="1">
      <c r="A1705" s="34"/>
      <c r="B1705" s="34" t="str">
        <f>IFERROR(__xludf.DUMMYFUNCTION("""COMPUTED_VALUE"""),"Malawi [GAZ:00001105]                    ")</f>
        <v>Malawi [GAZ:00001105]                    </v>
      </c>
      <c r="C1705" s="34" t="str">
        <f>IFERROR(__xludf.DUMMYFUNCTION("""COMPUTED_VALUE"""),"GAZ:00001105")</f>
        <v>GAZ:00001105</v>
      </c>
      <c r="D1705"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705" s="56" t="s">
        <v>19</v>
      </c>
      <c r="I1705" s="56" t="s">
        <v>19</v>
      </c>
      <c r="J1705" s="56" t="s">
        <v>19</v>
      </c>
      <c r="K1705" s="55" t="str">
        <f t="shared" si="78"/>
        <v>International</v>
      </c>
    </row>
    <row r="1706" hidden="1">
      <c r="A1706" s="34"/>
      <c r="B1706" s="34" t="str">
        <f>IFERROR(__xludf.DUMMYFUNCTION("""COMPUTED_VALUE"""),"Malaysia [GAZ:00003902]                    ")</f>
        <v>Malaysia [GAZ:00003902]                    </v>
      </c>
      <c r="C1706" s="34" t="str">
        <f>IFERROR(__xludf.DUMMYFUNCTION("""COMPUTED_VALUE"""),"GAZ:00003902")</f>
        <v>GAZ:00003902</v>
      </c>
      <c r="D1706" s="29" t="str">
        <f>IFERROR(__xludf.DUMMYFUNCTION("""COMPUTED_VALUE"""),"A country in southeastern Africa. It is bordered by Zambia to the north-west, Tanzania to the north and Mozambique, which surrounds it on the east, south and west. Malawi is divided into three regions (the Northern, Central and Southern regions), which ar"&amp;"e further divided into twenty-seven districts, which in turn are further divided into 137 traditional authorities and 68 sub-chiefdoms.")</f>
        <v>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v>
      </c>
      <c r="H1706" s="56" t="s">
        <v>19</v>
      </c>
      <c r="I1706" s="56" t="s">
        <v>19</v>
      </c>
      <c r="J1706" s="56" t="s">
        <v>19</v>
      </c>
      <c r="K1706" s="55" t="str">
        <f t="shared" si="78"/>
        <v>International</v>
      </c>
    </row>
    <row r="1707" hidden="1">
      <c r="A1707" s="34"/>
      <c r="B1707" s="34" t="str">
        <f>IFERROR(__xludf.DUMMYFUNCTION("""COMPUTED_VALUE"""),"Maldives [GAZ:00006924]                    ")</f>
        <v>Maldives [GAZ:00006924]                    </v>
      </c>
      <c r="C1707" s="34" t="str">
        <f>IFERROR(__xludf.DUMMYFUNCTION("""COMPUTED_VALUE"""),"GAZ:00006924")</f>
        <v>GAZ:00006924</v>
      </c>
      <c r="D1707" s="29" t="str">
        <f>IFERROR(__xludf.DUMMYFUNCTION("""COMPUTED_VALUE"""),"An archipelago which consists of approximately 1,196 coral islands grouped in a double chain of 27 atolls, spread over roughly 90,000 km2.")</f>
        <v>An archipelago which consists of approximately 1,196 coral islands grouped in a double chain of 27 atolls, spread over roughly 90,000 km2.</v>
      </c>
      <c r="H1707" s="56" t="s">
        <v>19</v>
      </c>
      <c r="I1707" s="56" t="s">
        <v>19</v>
      </c>
      <c r="J1707" s="56" t="s">
        <v>19</v>
      </c>
      <c r="K1707" s="55" t="str">
        <f t="shared" si="78"/>
        <v>International</v>
      </c>
    </row>
    <row r="1708" hidden="1">
      <c r="A1708" s="34"/>
      <c r="B1708" s="34" t="str">
        <f>IFERROR(__xludf.DUMMYFUNCTION("""COMPUTED_VALUE"""),"Mali [GAZ:00000584]                    ")</f>
        <v>Mali [GAZ:00000584]                    </v>
      </c>
      <c r="C1708" s="34" t="str">
        <f>IFERROR(__xludf.DUMMYFUNCTION("""COMPUTED_VALUE"""),"GAZ:00000584")</f>
        <v>GAZ:00000584</v>
      </c>
      <c r="D1708" s="29" t="str">
        <f>IFERROR(__xludf.DUMMYFUNCTION("""COMPUTED_VALUE"""),"A landlocked country in northern Africa. It borders Algeria on the north, Niger on the east, Burkina Faso and the Cote d'Ivoire on the south, Guinea on the south-west, and Senegal and Mauritania on the west. Mali is divided into 8 regions (regions) and 1 "&amp;"district, and subdivided into 49 cercles, totalling 288 arrondissements.")</f>
        <v>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v>
      </c>
      <c r="H1708" s="56" t="s">
        <v>19</v>
      </c>
      <c r="I1708" s="56" t="s">
        <v>19</v>
      </c>
      <c r="J1708" s="56" t="s">
        <v>19</v>
      </c>
      <c r="K1708" s="55" t="str">
        <f t="shared" si="78"/>
        <v>International</v>
      </c>
    </row>
    <row r="1709" hidden="1">
      <c r="A1709" s="34"/>
      <c r="B1709" s="34" t="str">
        <f>IFERROR(__xludf.DUMMYFUNCTION("""COMPUTED_VALUE"""),"Malta [GAZ:00004017]                    ")</f>
        <v>Malta [GAZ:00004017]                    </v>
      </c>
      <c r="C1709" s="34" t="str">
        <f>IFERROR(__xludf.DUMMYFUNCTION("""COMPUTED_VALUE"""),"GAZ:00004017")</f>
        <v>GAZ:00004017</v>
      </c>
      <c r="D1709" s="29" t="str">
        <f>IFERROR(__xludf.DUMMYFUNCTION("""COMPUTED_VALUE"""),"A Southern European country and consists of an archipelago situated centrally in the Mediterranean.")</f>
        <v>A Southern European country and consists of an archipelago situated centrally in the Mediterranean.</v>
      </c>
      <c r="H1709" s="56" t="s">
        <v>19</v>
      </c>
      <c r="I1709" s="56" t="s">
        <v>19</v>
      </c>
      <c r="J1709" s="56" t="s">
        <v>19</v>
      </c>
      <c r="K1709" s="55" t="str">
        <f t="shared" si="78"/>
        <v>International</v>
      </c>
    </row>
    <row r="1710" hidden="1">
      <c r="A1710" s="34"/>
      <c r="B1710" s="34" t="str">
        <f>IFERROR(__xludf.DUMMYFUNCTION("""COMPUTED_VALUE"""),"Marshall Islands [GAZ:00007161]                    ")</f>
        <v>Marshall Islands [GAZ:00007161]                    </v>
      </c>
      <c r="C1710" s="34" t="str">
        <f>IFERROR(__xludf.DUMMYFUNCTION("""COMPUTED_VALUE"""),"GAZ:00007161")</f>
        <v>GAZ:00007161</v>
      </c>
      <c r="D1710" s="29" t="str">
        <f>IFERROR(__xludf.DUMMYFUNCTION("""COMPUTED_VALUE"""),"An archipelago that consists of twenty-nine atolls and five isolated islands. The most important atolls and islands form two groups: the Ratak Chain and the Ralik Chain (meaning ""sunrise"" and ""sunset"" chains). Two-thirds of the nation's population liv"&amp;"es on Majuro (which is also the capital) and Ebeye. The outer islands are sparsely populated.")</f>
        <v>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v>
      </c>
      <c r="H1710" s="56" t="s">
        <v>19</v>
      </c>
      <c r="I1710" s="56" t="s">
        <v>19</v>
      </c>
      <c r="J1710" s="56" t="s">
        <v>19</v>
      </c>
      <c r="K1710" s="55" t="str">
        <f t="shared" si="78"/>
        <v>International</v>
      </c>
    </row>
    <row r="1711" hidden="1">
      <c r="A1711" s="34"/>
      <c r="B1711" s="34" t="str">
        <f>IFERROR(__xludf.DUMMYFUNCTION("""COMPUTED_VALUE"""),"Martinique [GAZ:00067143]                    ")</f>
        <v>Martinique [GAZ:00067143]                    </v>
      </c>
      <c r="C1711" s="34" t="str">
        <f>IFERROR(__xludf.DUMMYFUNCTION("""COMPUTED_VALUE"""),"GAZ:00067143")</f>
        <v>GAZ:00067143</v>
      </c>
      <c r="D1711" s="29" t="str">
        <f>IFERROR(__xludf.DUMMYFUNCTION("""COMPUTED_VALUE"""),"An island and an overseas department/region and single territorial collectivity of France.")</f>
        <v>An island and an overseas department/region and single territorial collectivity of France.</v>
      </c>
      <c r="H1711" s="56" t="s">
        <v>19</v>
      </c>
      <c r="I1711" s="56" t="s">
        <v>19</v>
      </c>
      <c r="J1711" s="56" t="s">
        <v>19</v>
      </c>
      <c r="K1711" s="55" t="str">
        <f t="shared" si="78"/>
        <v>International</v>
      </c>
    </row>
    <row r="1712" hidden="1">
      <c r="A1712" s="34"/>
      <c r="B1712" s="34" t="str">
        <f>IFERROR(__xludf.DUMMYFUNCTION("""COMPUTED_VALUE"""),"Mauritania [GAZ:00000583]                    ")</f>
        <v>Mauritania [GAZ:00000583]                    </v>
      </c>
      <c r="C1712" s="34" t="str">
        <f>IFERROR(__xludf.DUMMYFUNCTION("""COMPUTED_VALUE"""),"GAZ:00000583")</f>
        <v>GAZ:00000583</v>
      </c>
      <c r="D1712" s="29" t="str">
        <f>IFERROR(__xludf.DUMMYFUNCTION("""COMPUTED_VALUE"""),"A country in North-West Africa. It is bordered by the Atlantic Ocean on the west, by Senegal on the southwest, by Mali on the east and southeast, by Algeria on the northeast, and by Western Sahara on the northwest (most of which is occupied by Morocco). T"&amp;"he capital and largest city is Nouakchott, located on the Atlantic coast. Mauritania is divided into 12 regions (regions) and one capital district, which in turn are subdivided into 44 departments (departements).")</f>
        <v>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v>
      </c>
      <c r="H1712" s="56" t="s">
        <v>19</v>
      </c>
      <c r="I1712" s="56" t="s">
        <v>19</v>
      </c>
      <c r="J1712" s="56" t="s">
        <v>19</v>
      </c>
      <c r="K1712" s="55" t="str">
        <f t="shared" si="78"/>
        <v>International</v>
      </c>
    </row>
    <row r="1713" hidden="1">
      <c r="A1713" s="34"/>
      <c r="B1713" s="34" t="str">
        <f>IFERROR(__xludf.DUMMYFUNCTION("""COMPUTED_VALUE"""),"Mauritius [GAZ:00003745]                    ")</f>
        <v>Mauritius [GAZ:00003745]                    </v>
      </c>
      <c r="C1713" s="34" t="str">
        <f>IFERROR(__xludf.DUMMYFUNCTION("""COMPUTED_VALUE"""),"GAZ:00003745")</f>
        <v>GAZ:00003745</v>
      </c>
      <c r="D1713" s="29" t="str">
        <f>IFERROR(__xludf.DUMMYFUNCTION("""COMPUTED_VALUE"""),"An island nation off the coast of the African continent in the southwest Indian Ocean, about 900 km east of Madagascar. In addition to the island of Mauritius, the republic includes the islands of St. Brandon, Rodrigues and the Agalega Islands.")</f>
        <v>An island nation off the coast of the African continent in the southwest Indian Ocean, about 900 km east of Madagascar. In addition to the island of Mauritius, the republic includes the islands of St. Brandon, Rodrigues and the Agalega Islands.</v>
      </c>
      <c r="H1713" s="56" t="s">
        <v>19</v>
      </c>
      <c r="I1713" s="56" t="s">
        <v>19</v>
      </c>
      <c r="J1713" s="56" t="s">
        <v>19</v>
      </c>
      <c r="K1713" s="55" t="str">
        <f t="shared" si="78"/>
        <v>International</v>
      </c>
    </row>
    <row r="1714" hidden="1">
      <c r="A1714" s="34"/>
      <c r="B1714" s="34" t="str">
        <f>IFERROR(__xludf.DUMMYFUNCTION("""COMPUTED_VALUE"""),"Mayotte [GAZ:00003943]                    ")</f>
        <v>Mayotte [GAZ:00003943]                    </v>
      </c>
      <c r="C1714" s="34" t="str">
        <f>IFERROR(__xludf.DUMMYFUNCTION("""COMPUTED_VALUE"""),"GAZ:00003943")</f>
        <v>GAZ:00003943</v>
      </c>
      <c r="D1714" s="29" t="str">
        <f>IFERROR(__xludf.DUMMYFUNCTION("""COMPUTED_VALUE"""),"An overseas collectivity of France consisting of a main island, Grande-Terre (or Mahore), a smaller island, Petite-Terre (or Pamanzi), and several islets around these two.")</f>
        <v>An overseas collectivity of France consisting of a main island, Grande-Terre (or Mahore), a smaller island, Petite-Terre (or Pamanzi), and several islets around these two.</v>
      </c>
      <c r="H1714" s="56" t="s">
        <v>19</v>
      </c>
      <c r="I1714" s="56" t="s">
        <v>19</v>
      </c>
      <c r="J1714" s="56" t="s">
        <v>19</v>
      </c>
      <c r="K1714" s="55" t="str">
        <f t="shared" si="78"/>
        <v>International</v>
      </c>
    </row>
    <row r="1715" hidden="1">
      <c r="A1715" s="34"/>
      <c r="B1715" s="34" t="str">
        <f>IFERROR(__xludf.DUMMYFUNCTION("""COMPUTED_VALUE"""),"Mexico [GAZ:00002852]                    ")</f>
        <v>Mexico [GAZ:00002852]                    </v>
      </c>
      <c r="C1715" s="34" t="str">
        <f>IFERROR(__xludf.DUMMYFUNCTION("""COMPUTED_VALUE"""),"GAZ:00002852")</f>
        <v>GAZ:00002852</v>
      </c>
      <c r="D1715" s="29" t="str">
        <f>IFERROR(__xludf.DUMMYFUNCTION("""COMPUTED_VALUE"""),"A federal constitutional republic in North America. It is bounded on the north by the United States; on the south and west by the North Pacific Ocean; on the southeast by Guatemala, Belize, and the Caribbean Sea; and on the east by the Gulf of Mexico. The"&amp;" United Mexican States comprise a federation of thirty-one states and a federal district, the capital Mexico City.")</f>
        <v>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v>
      </c>
      <c r="H1715" s="56" t="s">
        <v>19</v>
      </c>
      <c r="I1715" s="56" t="s">
        <v>19</v>
      </c>
      <c r="J1715" s="56" t="s">
        <v>19</v>
      </c>
      <c r="K1715" s="55" t="str">
        <f t="shared" si="78"/>
        <v>International</v>
      </c>
    </row>
    <row r="1716" hidden="1">
      <c r="A1716" s="34"/>
      <c r="B1716" s="34" t="str">
        <f>IFERROR(__xludf.DUMMYFUNCTION("""COMPUTED_VALUE"""),"Micronesia [GAZ:00005862]                    ")</f>
        <v>Micronesia [GAZ:00005862]                    </v>
      </c>
      <c r="C1716" s="34" t="str">
        <f>IFERROR(__xludf.DUMMYFUNCTION("""COMPUTED_VALUE"""),"GAZ:00005862")</f>
        <v>GAZ:00005862</v>
      </c>
      <c r="D1716" s="29" t="str">
        <f>IFERROR(__xludf.DUMMYFUNCTION("""COMPUTED_VALUE"""),"A subregion of Oceania, comprising hundreds of small islands in the Pacific Ocean. The Philippines lie to the northwest, Indonesia, Papua New Guinea and Melanesia to the west and southwest, and Polynesia to the east.")</f>
        <v>A subregion of Oceania, comprising hundreds of small islands in the Pacific Ocean. The Philippines lie to the northwest, Indonesia, Papua New Guinea and Melanesia to the west and southwest, and Polynesia to the east.</v>
      </c>
      <c r="H1716" s="56" t="s">
        <v>19</v>
      </c>
      <c r="I1716" s="56" t="s">
        <v>19</v>
      </c>
      <c r="J1716" s="56" t="s">
        <v>19</v>
      </c>
      <c r="K1716" s="55" t="str">
        <f t="shared" si="78"/>
        <v>International</v>
      </c>
    </row>
    <row r="1717" hidden="1">
      <c r="A1717" s="34"/>
      <c r="B1717" s="34" t="str">
        <f>IFERROR(__xludf.DUMMYFUNCTION("""COMPUTED_VALUE"""),"Midway Islands [GAZ:00007112]                    ")</f>
        <v>Midway Islands [GAZ:00007112]                    </v>
      </c>
      <c r="C1717" s="34" t="str">
        <f>IFERROR(__xludf.DUMMYFUNCTION("""COMPUTED_VALUE"""),"GAZ:00007112")</f>
        <v>GAZ:00007112</v>
      </c>
      <c r="D1717" s="29" t="str">
        <f>IFERROR(__xludf.DUMMYFUNCTION("""COMPUTED_VALUE"""),"A 6.2 km2 atoll located in the North Pacific Ocean (near the northwestern end of the Hawaiian archipelago). It is an unincorporated territory of the United States, designated an insular area under the authority of the US Department of the Interior.")</f>
        <v>A 6.2 km2 atoll located in the North Pacific Ocean (near the northwestern end of the Hawaiian archipelago). It is an unincorporated territory of the United States, designated an insular area under the authority of the US Department of the Interior.</v>
      </c>
      <c r="H1717" s="56" t="s">
        <v>19</v>
      </c>
      <c r="I1717" s="56" t="s">
        <v>19</v>
      </c>
      <c r="J1717" s="56" t="s">
        <v>19</v>
      </c>
      <c r="K1717" s="55" t="str">
        <f t="shared" si="78"/>
        <v>International</v>
      </c>
    </row>
    <row r="1718" hidden="1">
      <c r="A1718" s="34"/>
      <c r="B1718" s="34" t="str">
        <f>IFERROR(__xludf.DUMMYFUNCTION("""COMPUTED_VALUE"""),"Moldova [GAZ:00003897]                    ")</f>
        <v>Moldova [GAZ:00003897]                    </v>
      </c>
      <c r="C1718" s="34" t="str">
        <f>IFERROR(__xludf.DUMMYFUNCTION("""COMPUTED_VALUE"""),"GAZ:00003897")</f>
        <v>GAZ:00003897</v>
      </c>
      <c r="D1718" s="29" t="str">
        <f>IFERROR(__xludf.DUMMYFUNCTION("""COMPUTED_VALUE"""),"A landlocked country in Eastern Europe, located between Romania to the west and Ukraine to the north, east and south. Moldova is divided into thirty-two districts (raioane, singular raion); three municipalities (Balti, Chisinau, Tighina); and two autonomo"&amp;"us regions (Gagauzia and Transnistria). The cities of Comrat and Tiraspol also have municipality status, however not as first-tier subdivisions of Moldova, but as parts of the regions of Gagauzia and Transnistria, respectively. The status of Transnistria "&amp;"is however under dispute. Although it is de jure part of Moldova and is recognized as such by the international community, Transnistria is not de facto under the control of the central government of Moldova. It is administered by an unrecognized breakaway"&amp;" authority under the name Pridnestrovian Moldovan Republic.")</f>
        <v>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v>
      </c>
      <c r="H1718" s="56" t="s">
        <v>19</v>
      </c>
      <c r="I1718" s="56" t="s">
        <v>19</v>
      </c>
      <c r="J1718" s="56" t="s">
        <v>19</v>
      </c>
      <c r="K1718" s="55" t="str">
        <f t="shared" si="78"/>
        <v>International</v>
      </c>
    </row>
    <row r="1719" hidden="1">
      <c r="A1719" s="34"/>
      <c r="B1719" s="34" t="str">
        <f>IFERROR(__xludf.DUMMYFUNCTION("""COMPUTED_VALUE"""),"Monaco [GAZ:00003857]                    ")</f>
        <v>Monaco [GAZ:00003857]                    </v>
      </c>
      <c r="C1719" s="34" t="str">
        <f>IFERROR(__xludf.DUMMYFUNCTION("""COMPUTED_VALUE"""),"GAZ:00003857")</f>
        <v>GAZ:00003857</v>
      </c>
      <c r="D1719" s="29" t="str">
        <f>IFERROR(__xludf.DUMMYFUNCTION("""COMPUTED_VALUE"""),"A small country that is completely bordered by France to the north, west, and south; to the east it is bordered by the Mediterranean Sea. It consists of a single municipality (commune) currently divided into 4 quartiers and 10 wards.")</f>
        <v>A small country that is completely bordered by France to the north, west, and south; to the east it is bordered by the Mediterranean Sea. It consists of a single municipality (commune) currently divided into 4 quartiers and 10 wards.</v>
      </c>
      <c r="H1719" s="56" t="s">
        <v>19</v>
      </c>
      <c r="I1719" s="56" t="s">
        <v>19</v>
      </c>
      <c r="J1719" s="56" t="s">
        <v>19</v>
      </c>
      <c r="K1719" s="55" t="str">
        <f t="shared" si="78"/>
        <v>International</v>
      </c>
    </row>
    <row r="1720" hidden="1">
      <c r="A1720" s="34"/>
      <c r="B1720" s="34" t="str">
        <f>IFERROR(__xludf.DUMMYFUNCTION("""COMPUTED_VALUE"""),"Mongolia [GAZ:00008744]                    ")</f>
        <v>Mongolia [GAZ:00008744]                    </v>
      </c>
      <c r="C1720" s="34" t="str">
        <f>IFERROR(__xludf.DUMMYFUNCTION("""COMPUTED_VALUE"""),"GAZ:00008744")</f>
        <v>GAZ:00008744</v>
      </c>
      <c r="D1720" s="29" t="str">
        <f>IFERROR(__xludf.DUMMYFUNCTION("""COMPUTED_VALUE"""),"A country in East-Central Asia. The landlocked country borders Russia to the north and China to the south. The capital and largest city is Ulan Bator. Mongolia is divided into 21 aimags (provinces), which are in turn divided into 315 sums (districts). The"&amp;" capital Ulan Bator is administrated separately as a khot (municipality) with provincial status.")</f>
        <v>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v>
      </c>
      <c r="H1720" s="56" t="s">
        <v>19</v>
      </c>
      <c r="I1720" s="56" t="s">
        <v>19</v>
      </c>
      <c r="J1720" s="56" t="s">
        <v>19</v>
      </c>
      <c r="K1720" s="55" t="str">
        <f t="shared" si="78"/>
        <v>International</v>
      </c>
    </row>
    <row r="1721" hidden="1">
      <c r="A1721" s="34"/>
      <c r="B1721" s="34" t="str">
        <f>IFERROR(__xludf.DUMMYFUNCTION("""COMPUTED_VALUE"""),"Montenegro [GAZ:00006898]                    ")</f>
        <v>Montenegro [GAZ:00006898]                    </v>
      </c>
      <c r="C1721" s="34" t="str">
        <f>IFERROR(__xludf.DUMMYFUNCTION("""COMPUTED_VALUE"""),"GAZ:00006898")</f>
        <v>GAZ:00006898</v>
      </c>
      <c r="D1721" s="29" t="str">
        <f>IFERROR(__xludf.DUMMYFUNCTION("""COMPUTED_VALUE"""),"A country located in Southeastern Europe. It has a coast on the Adriatic Sea to the south and borders Croatia to the west, Bosnia and Herzegovina to the northwest, Serbia and its partially recognized breakaway southern province of Kosovo to the northeast "&amp;"and Albania to the southeast. Its capital and largest city is Podgorica. Montenegro is divided into twenty-one municipalities (opstina), and two urban municipalities, subdivisions of Podgorica municipality.")</f>
        <v>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v>
      </c>
      <c r="H1721" s="56" t="s">
        <v>19</v>
      </c>
      <c r="I1721" s="56" t="s">
        <v>19</v>
      </c>
      <c r="J1721" s="56" t="s">
        <v>19</v>
      </c>
      <c r="K1721" s="55" t="str">
        <f t="shared" si="78"/>
        <v>International</v>
      </c>
    </row>
    <row r="1722" hidden="1">
      <c r="A1722" s="34"/>
      <c r="B1722" s="34" t="str">
        <f>IFERROR(__xludf.DUMMYFUNCTION("""COMPUTED_VALUE"""),"Montserrat [GAZ:00003988]                    ")</f>
        <v>Montserrat [GAZ:00003988]                    </v>
      </c>
      <c r="C1722" s="34" t="str">
        <f>IFERROR(__xludf.DUMMYFUNCTION("""COMPUTED_VALUE"""),"GAZ:00003988")</f>
        <v>GAZ:00003988</v>
      </c>
      <c r="D1722" s="29" t="str">
        <f>IFERROR(__xludf.DUMMYFUNCTION("""COMPUTED_VALUE"""),"A British overseas territory located in the Leeward Islands. Montserrat is divided into three parishes.")</f>
        <v>A British overseas territory located in the Leeward Islands. Montserrat is divided into three parishes.</v>
      </c>
      <c r="H1722" s="56" t="s">
        <v>19</v>
      </c>
      <c r="I1722" s="56" t="s">
        <v>19</v>
      </c>
      <c r="J1722" s="56" t="s">
        <v>19</v>
      </c>
      <c r="K1722" s="55" t="str">
        <f t="shared" si="78"/>
        <v>International</v>
      </c>
    </row>
    <row r="1723" hidden="1">
      <c r="A1723" s="34"/>
      <c r="B1723" s="34" t="str">
        <f>IFERROR(__xludf.DUMMYFUNCTION("""COMPUTED_VALUE"""),"Morocco [GAZ:00000565]                    ")</f>
        <v>Morocco [GAZ:00000565]                    </v>
      </c>
      <c r="C1723" s="34" t="str">
        <f>IFERROR(__xludf.DUMMYFUNCTION("""COMPUTED_VALUE"""),"GAZ:00000565")</f>
        <v>GAZ:00000565</v>
      </c>
      <c r="D1723" s="29" t="str">
        <f>IFERROR(__xludf.DUMMYFUNCTION("""COMPUTED_VALUE"""),"A country in North Africa. It has a coast on the Atlantic Ocean that reaches past the Strait of Gibraltar into the Mediterranean Sea. Morocco has international borders with Algeria to the east, Spain to the north (a water border through the Strait and lan"&amp;"d borders with two small Spanish autonomous cities, Ceuta and Melilla), and Mauritania to the south. Morocco is divided into 16 regions, and subdivided into 62 prefectures and provinces. Because of the conflict over Western Sahara, the status of both regi"&amp;"ons of ""Saguia el-Hamra"" and ""Rio de Oro"" is disputed.")</f>
        <v>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v>
      </c>
      <c r="H1723" s="56" t="s">
        <v>19</v>
      </c>
      <c r="I1723" s="56" t="s">
        <v>19</v>
      </c>
      <c r="J1723" s="56" t="s">
        <v>19</v>
      </c>
      <c r="K1723" s="55" t="str">
        <f t="shared" si="78"/>
        <v>International</v>
      </c>
    </row>
    <row r="1724" hidden="1">
      <c r="A1724" s="34"/>
      <c r="B1724" s="34" t="str">
        <f>IFERROR(__xludf.DUMMYFUNCTION("""COMPUTED_VALUE"""),"Mozambique [GAZ:00001100]                    ")</f>
        <v>Mozambique [GAZ:00001100]                    </v>
      </c>
      <c r="C1724" s="34" t="str">
        <f>IFERROR(__xludf.DUMMYFUNCTION("""COMPUTED_VALUE"""),"GAZ:00001100")</f>
        <v>GAZ:00001100</v>
      </c>
      <c r="D1724" s="29" t="str">
        <f>IFERROR(__xludf.DUMMYFUNCTION("""COMPUTED_VALUE"""),"A country in southeastern Africa bordered by the Indian Ocean to the east, Tanzania to the north, Malawi and Zambia to the northwest, Zimbabwe to the west and Swaziland and South Africa to the southwest. Mozambique is divided into ten provinces (provincia"&amp;"s) and one capital city (cidade capital) with provincial status. The provinces are subdivided into 129 districts (distritos). Districts are further divided in ""Postos Administrativos"" (Administrative Posts) and these in Localidades (Localities) the lowe"&amp;"st geographical level of central state administration.")</f>
        <v>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v>
      </c>
      <c r="H1724" s="56" t="s">
        <v>19</v>
      </c>
      <c r="I1724" s="56" t="s">
        <v>19</v>
      </c>
      <c r="J1724" s="56" t="s">
        <v>19</v>
      </c>
      <c r="K1724" s="55" t="str">
        <f t="shared" si="78"/>
        <v>International</v>
      </c>
    </row>
    <row r="1725" hidden="1">
      <c r="A1725" s="34"/>
      <c r="B1725" s="34" t="str">
        <f>IFERROR(__xludf.DUMMYFUNCTION("""COMPUTED_VALUE"""),"Myanmar [GAZ:00006899]                    ")</f>
        <v>Myanmar [GAZ:00006899]                    </v>
      </c>
      <c r="C1725" s="34" t="str">
        <f>IFERROR(__xludf.DUMMYFUNCTION("""COMPUTED_VALUE"""),"GAZ:00006899")</f>
        <v>GAZ:00006899</v>
      </c>
      <c r="D1725" s="29" t="str">
        <f>IFERROR(__xludf.DUMMYFUNCTION("""COMPUTED_VALUE"""),"A country in SE Asia that is bordered by China on the north, Laos on the east, Thailand on the southeast, Bangladesh on the west, and India on the northwest, with the Bay of Bengal to the southwest. Myanmar is divided into seven states and seven divisions"&amp;". The administrative divisions are further subdivided into districts, which are further subdivided into townships, wards, and villages.")</f>
        <v>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v>
      </c>
      <c r="H1725" s="56" t="s">
        <v>19</v>
      </c>
      <c r="I1725" s="56" t="s">
        <v>19</v>
      </c>
      <c r="J1725" s="56" t="s">
        <v>19</v>
      </c>
      <c r="K1725" s="55" t="str">
        <f t="shared" si="78"/>
        <v>International</v>
      </c>
    </row>
    <row r="1726" hidden="1">
      <c r="A1726" s="34"/>
      <c r="B1726" s="34" t="str">
        <f>IFERROR(__xludf.DUMMYFUNCTION("""COMPUTED_VALUE"""),"Namibia [GAZ:00001096]                    ")</f>
        <v>Namibia [GAZ:00001096]                    </v>
      </c>
      <c r="C1726" s="34" t="str">
        <f>IFERROR(__xludf.DUMMYFUNCTION("""COMPUTED_VALUE"""),"GAZ:00001096")</f>
        <v>GAZ:00001096</v>
      </c>
      <c r="D1726" s="29" t="str">
        <f>IFERROR(__xludf.DUMMYFUNCTION("""COMPUTED_VALUE"""),"A country in southern Africa on the Atlantic coast. It shares borders with Angola and Zambia to the north, Botswana to the east, and South Africa to the south. Namibia is divided into 13 regions and subdivided into 102 constituencies.")</f>
        <v>A country in southern Africa on the Atlantic coast. It shares borders with Angola and Zambia to the north, Botswana to the east, and South Africa to the south. Namibia is divided into 13 regions and subdivided into 102 constituencies.</v>
      </c>
      <c r="H1726" s="56" t="s">
        <v>19</v>
      </c>
      <c r="I1726" s="56" t="s">
        <v>19</v>
      </c>
      <c r="J1726" s="56" t="s">
        <v>19</v>
      </c>
      <c r="K1726" s="55" t="str">
        <f t="shared" si="78"/>
        <v>International</v>
      </c>
    </row>
    <row r="1727" hidden="1">
      <c r="A1727" s="34"/>
      <c r="B1727" s="34" t="str">
        <f>IFERROR(__xludf.DUMMYFUNCTION("""COMPUTED_VALUE"""),"Nauru [GAZ:00006900]                    ")</f>
        <v>Nauru [GAZ:00006900]                    </v>
      </c>
      <c r="C1727" s="34" t="str">
        <f>IFERROR(__xludf.DUMMYFUNCTION("""COMPUTED_VALUE"""),"GAZ:00006900")</f>
        <v>GAZ:00006900</v>
      </c>
      <c r="D1727" s="29" t="str">
        <f>IFERROR(__xludf.DUMMYFUNCTION("""COMPUTED_VALUE"""),"An island nation in the Micronesian South Pacific. The nearest neighbour is Banaba Island in the Republic of Kiribati, 300 km due east. Nauru is divided into fourteen administrative districts which are grouped into eight electoral constituencies.")</f>
        <v>An island nation in the Micronesian South Pacific. The nearest neighbour is Banaba Island in the Republic of Kiribati, 300 km due east. Nauru is divided into fourteen administrative districts which are grouped into eight electoral constituencies.</v>
      </c>
      <c r="H1727" s="56" t="s">
        <v>19</v>
      </c>
      <c r="I1727" s="56" t="s">
        <v>19</v>
      </c>
      <c r="J1727" s="56" t="s">
        <v>19</v>
      </c>
      <c r="K1727" s="55" t="str">
        <f t="shared" si="78"/>
        <v>International</v>
      </c>
    </row>
    <row r="1728" hidden="1">
      <c r="A1728" s="34"/>
      <c r="B1728" s="34" t="str">
        <f>IFERROR(__xludf.DUMMYFUNCTION("""COMPUTED_VALUE"""),"Navassa Island [GAZ:00007119]                    ")</f>
        <v>Navassa Island [GAZ:00007119]                    </v>
      </c>
      <c r="C1728" s="34" t="str">
        <f>IFERROR(__xludf.DUMMYFUNCTION("""COMPUTED_VALUE"""),"GAZ:00007119")</f>
        <v>GAZ:00007119</v>
      </c>
      <c r="D1728" s="29" t="str">
        <f>IFERROR(__xludf.DUMMYFUNCTION("""COMPUTED_VALUE"""),"A small, uninhabited island in the Caribbean Sea, and is an unorganized unincorporated territory of the United States, which administers it through the US Fish and Wildlife Service. The island is also claimed by Haiti.")</f>
        <v>A small, uninhabited island in the Caribbean Sea, and is an unorganized unincorporated territory of the United States, which administers it through the US Fish and Wildlife Service. The island is also claimed by Haiti.</v>
      </c>
      <c r="H1728" s="56" t="s">
        <v>19</v>
      </c>
      <c r="I1728" s="56" t="s">
        <v>19</v>
      </c>
      <c r="J1728" s="56" t="s">
        <v>19</v>
      </c>
      <c r="K1728" s="35" t="s">
        <v>27</v>
      </c>
    </row>
    <row r="1729" hidden="1">
      <c r="A1729" s="34"/>
      <c r="B1729" s="34" t="str">
        <f>IFERROR(__xludf.DUMMYFUNCTION("""COMPUTED_VALUE"""),"Nepal [GAZ:00004399]                    ")</f>
        <v>Nepal [GAZ:00004399]                    </v>
      </c>
      <c r="C1729" s="34" t="str">
        <f>IFERROR(__xludf.DUMMYFUNCTION("""COMPUTED_VALUE"""),"GAZ:00004399")</f>
        <v>GAZ:00004399</v>
      </c>
      <c r="D1729" s="29" t="str">
        <f>IFERROR(__xludf.DUMMYFUNCTION("""COMPUTED_VALUE"""),"A landlocked nation in South Asia. It is bordered by the Tibet Autonomous Region of the People's Republic of China to the northeast and India to the south and west; it is separated from Bhutan by the Indian State of Sikkim and from Bangladesh by a small s"&amp;"trip of the Indian State of West Bengal, known as the ""Chicken's Neck"". The Himalaya mountain range runs across Nepal's north and western parts, and eight of the world's ten highest mountains, including the highest, Mount Everest are situated within its"&amp;" territory. Nepal is divided into 14 zones and 75 districts, grouped into 5 development regions.")</f>
        <v>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v>
      </c>
      <c r="H1729" s="56" t="s">
        <v>19</v>
      </c>
      <c r="I1729" s="56" t="s">
        <v>19</v>
      </c>
      <c r="J1729" s="56" t="s">
        <v>19</v>
      </c>
      <c r="K1729" s="55" t="str">
        <f t="shared" ref="K1729:K1830" si="79">K1728</f>
        <v>International</v>
      </c>
    </row>
    <row r="1730" hidden="1">
      <c r="A1730" s="34"/>
      <c r="B1730" s="34" t="str">
        <f>IFERROR(__xludf.DUMMYFUNCTION("""COMPUTED_VALUE"""),"Netherlands [GAZ:00002946]                    ")</f>
        <v>Netherlands [GAZ:00002946]                    </v>
      </c>
      <c r="C1730" s="34" t="str">
        <f>IFERROR(__xludf.DUMMYFUNCTION("""COMPUTED_VALUE"""),"GAZ:00002946")</f>
        <v>GAZ:00002946</v>
      </c>
      <c r="D1730" s="29" t="str">
        <f>IFERROR(__xludf.DUMMYFUNCTION("""COMPUTED_VALUE"""),"The European part of the Kingdom of the Netherlands. It is bordered by the North Sea to the north and west, Belgium to the south, and Germany to the east. The Netherlands is divided into twelve administrative regions, called provinces. All provinces of th"&amp;"e Netherlands are divided into municipalities (gemeenten), together 443 (2007).")</f>
        <v>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v>
      </c>
      <c r="H1730" s="56" t="s">
        <v>19</v>
      </c>
      <c r="I1730" s="56" t="s">
        <v>19</v>
      </c>
      <c r="J1730" s="56" t="s">
        <v>19</v>
      </c>
      <c r="K1730" s="55" t="str">
        <f t="shared" si="79"/>
        <v>International</v>
      </c>
    </row>
    <row r="1731" hidden="1">
      <c r="A1731" s="34"/>
      <c r="B1731" s="34" t="str">
        <f>IFERROR(__xludf.DUMMYFUNCTION("""COMPUTED_VALUE"""),"New Caledonia [GAZ:00005206]                    ")</f>
        <v>New Caledonia [GAZ:00005206]                    </v>
      </c>
      <c r="C1731" s="34" t="str">
        <f>IFERROR(__xludf.DUMMYFUNCTION("""COMPUTED_VALUE"""),"GAZ:00005206")</f>
        <v>GAZ:00005206</v>
      </c>
      <c r="D1731" s="29" t="str">
        <f>IFERROR(__xludf.DUMMYFUNCTION("""COMPUTED_VALUE"""),"A ""sui generis collectivity"" (in practice an overseas territory) of France, made up of a main island (Grande Terre), the Loyalty Islands, and several smaller islands. It is located in the region of Melanesia in the southwest Pacific. Administratively, t"&amp;"he archipelago is divided into three provinces, and then into 33 communes.")</f>
        <v>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v>
      </c>
      <c r="H1731" s="56" t="s">
        <v>19</v>
      </c>
      <c r="I1731" s="56" t="s">
        <v>19</v>
      </c>
      <c r="J1731" s="56" t="s">
        <v>19</v>
      </c>
      <c r="K1731" s="55" t="str">
        <f t="shared" si="79"/>
        <v>International</v>
      </c>
    </row>
    <row r="1732" hidden="1">
      <c r="A1732" s="34"/>
      <c r="B1732" s="34" t="str">
        <f>IFERROR(__xludf.DUMMYFUNCTION("""COMPUTED_VALUE"""),"New Zealand [GAZ:00000469]                    ")</f>
        <v>New Zealand [GAZ:00000469]                    </v>
      </c>
      <c r="C1732" s="34" t="str">
        <f>IFERROR(__xludf.DUMMYFUNCTION("""COMPUTED_VALUE"""),"GAZ:00000469")</f>
        <v>GAZ:00000469</v>
      </c>
      <c r="D1732" s="29" t="str">
        <f>IFERROR(__xludf.DUMMYFUNCTION("""COMPUTED_VALUE"""),"A nation in the south-western Pacific Ocean comprising two large islands (the North Island and the South Island) and numerous smaller islands, most notably Stewart Island/Rakiura and the Chatham Islands.")</f>
        <v>A nation in the south-western Pacific Ocean comprising two large islands (the North Island and the South Island) and numerous smaller islands, most notably Stewart Island/Rakiura and the Chatham Islands.</v>
      </c>
      <c r="H1732" s="56" t="s">
        <v>19</v>
      </c>
      <c r="I1732" s="56" t="s">
        <v>19</v>
      </c>
      <c r="J1732" s="56" t="s">
        <v>19</v>
      </c>
      <c r="K1732" s="55" t="str">
        <f t="shared" si="79"/>
        <v>International</v>
      </c>
    </row>
    <row r="1733" hidden="1">
      <c r="A1733" s="34"/>
      <c r="B1733" s="34" t="str">
        <f>IFERROR(__xludf.DUMMYFUNCTION("""COMPUTED_VALUE"""),"Nicaragua [GAZ:00002978]                    ")</f>
        <v>Nicaragua [GAZ:00002978]                    </v>
      </c>
      <c r="C1733" s="34" t="str">
        <f>IFERROR(__xludf.DUMMYFUNCTION("""COMPUTED_VALUE"""),"GAZ:00002978")</f>
        <v>GAZ:00002978</v>
      </c>
      <c r="D1733" s="29" t="str">
        <f>IFERROR(__xludf.DUMMYFUNCTION("""COMPUTED_VALUE"""),"A republic in Central America. It is also the least densely populated with a demographic similar in size to its smaller neighbors. The country is bordered by Honduras to the north and by Costa Rica to the south. The Pacific Ocean lies to the west of the c"&amp;"ountry, while the Caribbean Sea lies to the east. For administrative purposes it is divided into 15 departments (departamentos) and two self-governing regions (autonomous communities) based on the Spanish model. The departments are then subdivided into 15"&amp;"3 municipios (municipalities). The two autonomous regions are Region Autonoma del Atlantico Norte and Region Autonoma del Atlantico Sur, often referred to as RAAN and RAAS, respectively. Until they were granted autonomy in 1985 they formed the single depa"&amp;"rtment of Zelaya.")</f>
        <v>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v>
      </c>
      <c r="H1733" s="56" t="s">
        <v>19</v>
      </c>
      <c r="I1733" s="56" t="s">
        <v>19</v>
      </c>
      <c r="J1733" s="56" t="s">
        <v>19</v>
      </c>
      <c r="K1733" s="55" t="str">
        <f t="shared" si="79"/>
        <v>International</v>
      </c>
    </row>
    <row r="1734" hidden="1">
      <c r="A1734" s="34"/>
      <c r="B1734" s="34" t="str">
        <f>IFERROR(__xludf.DUMMYFUNCTION("""COMPUTED_VALUE"""),"Niger [GAZ:00000585]                    ")</f>
        <v>Niger [GAZ:00000585]                    </v>
      </c>
      <c r="C1734" s="34" t="str">
        <f>IFERROR(__xludf.DUMMYFUNCTION("""COMPUTED_VALUE"""),"GAZ:00000585")</f>
        <v>GAZ:00000585</v>
      </c>
      <c r="D1734" s="29" t="str">
        <f>IFERROR(__xludf.DUMMYFUNCTION("""COMPUTED_VALUE"""),"A landlocked country in Western Africa, named after the Niger River. It borders Nigeria and Benin to the south, Burkina Faso and Mali to the west, Algeria and Libya to the north and Chad to the east. The capital city is Niamey. Niger is divided into 7 dep"&amp;"artments and one capital district. The departments are subdivided into 36 arrondissements and further subdivided into 129 communes.")</f>
        <v>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v>
      </c>
      <c r="H1734" s="56" t="s">
        <v>19</v>
      </c>
      <c r="I1734" s="56" t="s">
        <v>19</v>
      </c>
      <c r="J1734" s="56" t="s">
        <v>19</v>
      </c>
      <c r="K1734" s="55" t="str">
        <f t="shared" si="79"/>
        <v>International</v>
      </c>
    </row>
    <row r="1735" hidden="1">
      <c r="A1735" s="34"/>
      <c r="B1735" s="34" t="str">
        <f>IFERROR(__xludf.DUMMYFUNCTION("""COMPUTED_VALUE"""),"Nigeria [GAZ:00000912]                    ")</f>
        <v>Nigeria [GAZ:00000912]                    </v>
      </c>
      <c r="C1735" s="34" t="str">
        <f>IFERROR(__xludf.DUMMYFUNCTION("""COMPUTED_VALUE"""),"GAZ:00000912")</f>
        <v>GAZ:00000912</v>
      </c>
      <c r="D1735" s="29" t="str">
        <f>IFERROR(__xludf.DUMMYFUNCTION("""COMPUTED_VALUE"""),"A federal constitutional republic comprising thirty-six states and one Federal Capital Territory. The country is located in West Africa and shares land borders with the Republic of Benin in the west, Chad and Cameroon in the east, and Niger in the north. "&amp;"Its coast lies on the Gulf of Guinea, part of the Atlantic Ocean, in the south. The capital city is Abuja. Nigeria is divided into thirty-six states and one Federal Capital Territory, which are further sub-divided into 774 Local Government Areas (LGAs).")</f>
        <v>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v>
      </c>
      <c r="H1735" s="56" t="s">
        <v>19</v>
      </c>
      <c r="I1735" s="56" t="s">
        <v>19</v>
      </c>
      <c r="J1735" s="56" t="s">
        <v>19</v>
      </c>
      <c r="K1735" s="55" t="str">
        <f t="shared" si="79"/>
        <v>International</v>
      </c>
    </row>
    <row r="1736" hidden="1">
      <c r="A1736" s="34"/>
      <c r="B1736" s="34" t="str">
        <f>IFERROR(__xludf.DUMMYFUNCTION("""COMPUTED_VALUE"""),"Niue [GAZ:00006902]                    ")</f>
        <v>Niue [GAZ:00006902]                    </v>
      </c>
      <c r="C1736" s="34" t="str">
        <f>IFERROR(__xludf.DUMMYFUNCTION("""COMPUTED_VALUE"""),"GAZ:00006902")</f>
        <v>GAZ:00006902</v>
      </c>
      <c r="D1736" s="29" t="str">
        <f>IFERROR(__xludf.DUMMYFUNCTION("""COMPUTED_VALUE"""),"An island nation located in the South Pacific Ocean. Although self-governing, Niue is in free association with New Zealand, meaning that the Sovereign in Right of New Zealand is also Niue's head of state.")</f>
        <v>An island nation located in the South Pacific Ocean. Although self-governing, Niue is in free association with New Zealand, meaning that the Sovereign in Right of New Zealand is also Niue's head of state.</v>
      </c>
      <c r="H1736" s="56" t="s">
        <v>19</v>
      </c>
      <c r="I1736" s="56" t="s">
        <v>19</v>
      </c>
      <c r="J1736" s="56" t="s">
        <v>19</v>
      </c>
      <c r="K1736" s="55" t="str">
        <f t="shared" si="79"/>
        <v>International</v>
      </c>
    </row>
    <row r="1737" hidden="1">
      <c r="A1737" s="34"/>
      <c r="B1737" s="34" t="str">
        <f>IFERROR(__xludf.DUMMYFUNCTION("""COMPUTED_VALUE"""),"Norfolk Island [GAZ:00005908]                    ")</f>
        <v>Norfolk Island [GAZ:00005908]                    </v>
      </c>
      <c r="C1737" s="34" t="str">
        <f>IFERROR(__xludf.DUMMYFUNCTION("""COMPUTED_VALUE"""),"GAZ:00005908")</f>
        <v>GAZ:00005908</v>
      </c>
      <c r="D1737" s="29" t="str">
        <f>IFERROR(__xludf.DUMMYFUNCTION("""COMPUTED_VALUE"""),"A Territory of Australia that includes Norfolk Island and neighboring islands.")</f>
        <v>A Territory of Australia that includes Norfolk Island and neighboring islands.</v>
      </c>
      <c r="H1737" s="56" t="s">
        <v>19</v>
      </c>
      <c r="I1737" s="56" t="s">
        <v>19</v>
      </c>
      <c r="J1737" s="56" t="s">
        <v>19</v>
      </c>
      <c r="K1737" s="55" t="str">
        <f t="shared" si="79"/>
        <v>International</v>
      </c>
    </row>
    <row r="1738" hidden="1">
      <c r="A1738" s="34"/>
      <c r="B1738" s="34" t="str">
        <f>IFERROR(__xludf.DUMMYFUNCTION("""COMPUTED_VALUE"""),"North Korea [GAZ:00002801]                    ")</f>
        <v>North Korea [GAZ:00002801]                    </v>
      </c>
      <c r="C1738" s="34" t="str">
        <f>IFERROR(__xludf.DUMMYFUNCTION("""COMPUTED_VALUE"""),"GAZ:00002801")</f>
        <v>GAZ:00002801</v>
      </c>
      <c r="D1738" s="29" t="str">
        <f>IFERROR(__xludf.DUMMYFUNCTION("""COMPUTED_VALUE"""),"A state in East Asia in the northern half of the Korean Peninsula, with its capital in the city of Pyongyang. To the south and separated by the Korean Demilitarized Zone is South Korea, with which it formed one nation until division following World War II"&amp;". At its northern Amnok River border are China and, separated by the Tumen River in the extreme north-east, Russia.")</f>
        <v>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v>
      </c>
      <c r="H1738" s="56" t="s">
        <v>19</v>
      </c>
      <c r="I1738" s="56" t="s">
        <v>19</v>
      </c>
      <c r="J1738" s="56" t="s">
        <v>19</v>
      </c>
      <c r="K1738" s="55" t="str">
        <f t="shared" si="79"/>
        <v>International</v>
      </c>
    </row>
    <row r="1739" hidden="1">
      <c r="A1739" s="34"/>
      <c r="B1739" s="34" t="str">
        <f>IFERROR(__xludf.DUMMYFUNCTION("""COMPUTED_VALUE"""),"North Macedonia [GAZ:00006895]                    ")</f>
        <v>North Macedonia [GAZ:00006895]                    </v>
      </c>
      <c r="C1739" s="34" t="str">
        <f>IFERROR(__xludf.DUMMYFUNCTION("""COMPUTED_VALUE"""),"GAZ:00006895")</f>
        <v>GAZ:00006895</v>
      </c>
      <c r="D1739" s="29" t="str">
        <f>IFERROR(__xludf.DUMMYFUNCTION("""COMPUTED_VALUE"""),"A landlocked country on the Balkan peninsula in southeastern Europe. It is bordered by Serbia and Kosovo to the north, Albania to the west, Greece to the south, and Bulgaria to the east. In 2004-08, the Republic of Macedonia was reorganised into 85 munici"&amp;"palities (opstini; singular opstina), 10 of which comprise Greater Skopje. This is reduced from the previous 123 municipalities established in 1996-09. Prior to this, local government was organised into 34 administrative districts.")</f>
        <v>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v>
      </c>
      <c r="H1739" s="56" t="s">
        <v>19</v>
      </c>
      <c r="I1739" s="56" t="s">
        <v>19</v>
      </c>
      <c r="J1739" s="56" t="s">
        <v>19</v>
      </c>
      <c r="K1739" s="55" t="str">
        <f t="shared" si="79"/>
        <v>International</v>
      </c>
    </row>
    <row r="1740" hidden="1">
      <c r="A1740" s="34"/>
      <c r="B1740" s="34" t="str">
        <f>IFERROR(__xludf.DUMMYFUNCTION("""COMPUTED_VALUE"""),"North Sea [GAZ:00002284]                    ")</f>
        <v>North Sea [GAZ:00002284]                    </v>
      </c>
      <c r="C1740" s="34" t="str">
        <f>IFERROR(__xludf.DUMMYFUNCTION("""COMPUTED_VALUE"""),"GAZ:00002284")</f>
        <v>GAZ:00002284</v>
      </c>
      <c r="D1740" s="29" t="str">
        <f>IFERROR(__xludf.DUMMYFUNCTION("""COMPUTED_VALUE"""),"A sea situated between the eastern coasts of the British Isles and the western coast of Europe.")</f>
        <v>A sea situated between the eastern coasts of the British Isles and the western coast of Europe.</v>
      </c>
      <c r="H1740" s="56" t="s">
        <v>19</v>
      </c>
      <c r="I1740" s="56" t="s">
        <v>19</v>
      </c>
      <c r="J1740" s="56" t="s">
        <v>19</v>
      </c>
      <c r="K1740" s="55" t="str">
        <f t="shared" si="79"/>
        <v>International</v>
      </c>
    </row>
    <row r="1741" hidden="1">
      <c r="A1741" s="34"/>
      <c r="B1741" s="34" t="str">
        <f>IFERROR(__xludf.DUMMYFUNCTION("""COMPUTED_VALUE"""),"Northern Mariana Islands [GAZ:00003958]                    ")</f>
        <v>Northern Mariana Islands [GAZ:00003958]                    </v>
      </c>
      <c r="C1741" s="34" t="str">
        <f>IFERROR(__xludf.DUMMYFUNCTION("""COMPUTED_VALUE"""),"GAZ:00003958")</f>
        <v>GAZ:00003958</v>
      </c>
      <c r="D1741" s="29" t="str">
        <f>IFERROR(__xludf.DUMMYFUNCTION("""COMPUTED_VALUE"""),"A group of 15 islands about three-quarters of the way from Hawaii to the Philippines.")</f>
        <v>A group of 15 islands about three-quarters of the way from Hawaii to the Philippines.</v>
      </c>
      <c r="H1741" s="56" t="s">
        <v>19</v>
      </c>
      <c r="I1741" s="56" t="s">
        <v>19</v>
      </c>
      <c r="J1741" s="56" t="s">
        <v>19</v>
      </c>
      <c r="K1741" s="55" t="str">
        <f t="shared" si="79"/>
        <v>International</v>
      </c>
    </row>
    <row r="1742" hidden="1">
      <c r="A1742" s="34"/>
      <c r="B1742" s="34" t="str">
        <f>IFERROR(__xludf.DUMMYFUNCTION("""COMPUTED_VALUE"""),"Norway [GAZ:00002699]                    ")</f>
        <v>Norway [GAZ:00002699]                    </v>
      </c>
      <c r="C1742" s="34" t="str">
        <f>IFERROR(__xludf.DUMMYFUNCTION("""COMPUTED_VALUE"""),"GAZ:00002699")</f>
        <v>GAZ:00002699</v>
      </c>
      <c r="D1742" s="29" t="str">
        <f>IFERROR(__xludf.DUMMYFUNCTION("""COMPUTED_VALUE"""),"A country and constitutional monarchy in Northern Europe that occupies the western portion of the Scandinavian Peninsula. It is bordered by Sweden, Finland, and Russia. The Kingdom of Norway also includes the Arctic island territories of Svalbard and Jan "&amp;"Mayen. Norwegian sovereignty over Svalbard is based upon the Svalbard Treaty, but that treaty does not apply to Jan Mayen. Bouvet Island in the South Atlantic Ocean and Peter I Island and Queen Maud Land in Antarctica are external dependencies, but those "&amp;"three entities do not form part of the kingdom.")</f>
        <v>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v>
      </c>
      <c r="H1742" s="56" t="s">
        <v>19</v>
      </c>
      <c r="I1742" s="56" t="s">
        <v>19</v>
      </c>
      <c r="J1742" s="56" t="s">
        <v>19</v>
      </c>
      <c r="K1742" s="55" t="str">
        <f t="shared" si="79"/>
        <v>International</v>
      </c>
    </row>
    <row r="1743" hidden="1">
      <c r="A1743" s="34"/>
      <c r="B1743" s="34" t="str">
        <f>IFERROR(__xludf.DUMMYFUNCTION("""COMPUTED_VALUE"""),"Oman [GAZ:00005283]                    ")</f>
        <v>Oman [GAZ:00005283]                    </v>
      </c>
      <c r="C1743" s="34" t="str">
        <f>IFERROR(__xludf.DUMMYFUNCTION("""COMPUTED_VALUE"""),"GAZ:00005283")</f>
        <v>GAZ:00005283</v>
      </c>
      <c r="D1743" s="29" t="str">
        <f>IFERROR(__xludf.DUMMYFUNCTION("""COMPUTED_VALUE"""),"A country in southwest Asia, on the southeast coast of the Arabian Peninsula. It borders the United Arab Emirates on the northwest, Saudi Arabia on the west, and Yemen on the southwest. The coast is formed by the Arabian Sea on the south and east, and the"&amp;" Gulf of Oman on the northeast. The country also contains Madha, an exclave enclosed by the United Arab Emirates, and Musandam, an exclave also separated by Emirati territory. Oman is divided into four governorates (muhafazah) and five regions (mintaqat)."&amp;" The regions are subdivided into provinces (wilayat).")</f>
        <v>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v>
      </c>
      <c r="H1743" s="56" t="s">
        <v>19</v>
      </c>
      <c r="I1743" s="56" t="s">
        <v>19</v>
      </c>
      <c r="J1743" s="56" t="s">
        <v>19</v>
      </c>
      <c r="K1743" s="55" t="str">
        <f t="shared" si="79"/>
        <v>International</v>
      </c>
    </row>
    <row r="1744" hidden="1">
      <c r="A1744" s="34"/>
      <c r="B1744" s="34" t="str">
        <f>IFERROR(__xludf.DUMMYFUNCTION("""COMPUTED_VALUE"""),"Pakistan [GAZ:00005246]                    ")</f>
        <v>Pakistan [GAZ:00005246]                    </v>
      </c>
      <c r="C1744" s="34" t="str">
        <f>IFERROR(__xludf.DUMMYFUNCTION("""COMPUTED_VALUE"""),"GAZ:00005246")</f>
        <v>GAZ:00005246</v>
      </c>
      <c r="D1744" s="29" t="str">
        <f>IFERROR(__xludf.DUMMYFUNCTION("""COMPUTED_VALUE"""),"A country in Middle East which lies on the Iranian Plateau and some parts of South Asia. It is located in the region where South Asia converges with Central Asia and the Middle East. It has a 1,046 km coastline along the Arabian Sea in the south, and is b"&amp;"ordered by Afghanistan and Iran in the west, India in the east and China in the far northeast. Pakistan is subdivided into four provinces and two territories. In addition, the portion of Kashmir that is administered by the Pakistani government is divided "&amp;"into two separate administrative units. The provinces are divided into a total of 105 zillas (districts). A zilla is further subdivided into tehsils (roughly equivalent to counties). Tehsils may contain villages or municipalities. There are over five thou"&amp;"sand local governments in Pakistan.")</f>
        <v>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v>
      </c>
      <c r="H1744" s="56" t="s">
        <v>19</v>
      </c>
      <c r="I1744" s="56" t="s">
        <v>19</v>
      </c>
      <c r="J1744" s="56" t="s">
        <v>19</v>
      </c>
      <c r="K1744" s="55" t="str">
        <f t="shared" si="79"/>
        <v>International</v>
      </c>
    </row>
    <row r="1745" hidden="1">
      <c r="A1745" s="34"/>
      <c r="B1745" s="34" t="str">
        <f>IFERROR(__xludf.DUMMYFUNCTION("""COMPUTED_VALUE"""),"Palau [GAZ:00006905]                    ")</f>
        <v>Palau [GAZ:00006905]                    </v>
      </c>
      <c r="C1745" s="34" t="str">
        <f>IFERROR(__xludf.DUMMYFUNCTION("""COMPUTED_VALUE"""),"GAZ:00006905")</f>
        <v>GAZ:00006905</v>
      </c>
      <c r="D1745" s="29" t="str">
        <f>IFERROR(__xludf.DUMMYFUNCTION("""COMPUTED_VALUE"""),"A nation that consists of eight principal islands and more than 250 smaller ones lying roughly 500 miles southeast of the Philippines.")</f>
        <v>A nation that consists of eight principal islands and more than 250 smaller ones lying roughly 500 miles southeast of the Philippines.</v>
      </c>
      <c r="H1745" s="56" t="s">
        <v>19</v>
      </c>
      <c r="I1745" s="56" t="s">
        <v>19</v>
      </c>
      <c r="J1745" s="56" t="s">
        <v>19</v>
      </c>
      <c r="K1745" s="55" t="str">
        <f t="shared" si="79"/>
        <v>International</v>
      </c>
    </row>
    <row r="1746" hidden="1">
      <c r="A1746" s="34"/>
      <c r="B1746" s="34" t="str">
        <f>IFERROR(__xludf.DUMMYFUNCTION("""COMPUTED_VALUE"""),"Panama [GAZ:00002892]                    ")</f>
        <v>Panama [GAZ:00002892]                    </v>
      </c>
      <c r="C1746" s="34" t="str">
        <f>IFERROR(__xludf.DUMMYFUNCTION("""COMPUTED_VALUE"""),"GAZ:00002892")</f>
        <v>GAZ:00002892</v>
      </c>
      <c r="D1746" s="29" t="str">
        <f>IFERROR(__xludf.DUMMYFUNCTION("""COMPUTED_VALUE"""),"The southernmost country of Central America. Situated on an isthmus, some categorize it as a transcontinental nation connecting the north and south part of America. It borders Costa Rica to the north-west, Colombia to the south-east, the Caribbean Sea to "&amp;"the north and the Pacific Ocean to the south. Panama's major divisions are nine provinces and five indigenous territories (comarcas indigenas). The provincial borders have not changed since they were determined at independence in 1903. The provinces are d"&amp;"ivided into districts, which in turn are subdivided into sections called corregimientos. Configurations of the corregimientos are changed periodically to accommodate population changes as revealed in the census reports.")</f>
        <v>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v>
      </c>
      <c r="H1746" s="56" t="s">
        <v>19</v>
      </c>
      <c r="I1746" s="56" t="s">
        <v>19</v>
      </c>
      <c r="J1746" s="56" t="s">
        <v>19</v>
      </c>
      <c r="K1746" s="55" t="str">
        <f t="shared" si="79"/>
        <v>International</v>
      </c>
    </row>
    <row r="1747" hidden="1">
      <c r="A1747" s="34"/>
      <c r="B1747" s="34" t="str">
        <f>IFERROR(__xludf.DUMMYFUNCTION("""COMPUTED_VALUE"""),"Papua New Guinea [GAZ:00003922]                    ")</f>
        <v>Papua New Guinea [GAZ:00003922]                    </v>
      </c>
      <c r="C1747" s="34" t="str">
        <f>IFERROR(__xludf.DUMMYFUNCTION("""COMPUTED_VALUE"""),"GAZ:00003922")</f>
        <v>GAZ:00003922</v>
      </c>
      <c r="D1747" s="29" t="str">
        <f>IFERROR(__xludf.DUMMYFUNCTION("""COMPUTED_VALUE"""),"A country in Oceania that comprises the eastern half of the island of New Guinea and its offshore islands in Melanesia (a region of the southwestern Pacific Ocean north of Australia).")</f>
        <v>A country in Oceania that comprises the eastern half of the island of New Guinea and its offshore islands in Melanesia (a region of the southwestern Pacific Ocean north of Australia).</v>
      </c>
      <c r="H1747" s="56" t="s">
        <v>19</v>
      </c>
      <c r="I1747" s="56" t="s">
        <v>19</v>
      </c>
      <c r="J1747" s="56" t="s">
        <v>19</v>
      </c>
      <c r="K1747" s="55" t="str">
        <f t="shared" si="79"/>
        <v>International</v>
      </c>
    </row>
    <row r="1748" hidden="1">
      <c r="A1748" s="34"/>
      <c r="B1748" s="34" t="str">
        <f>IFERROR(__xludf.DUMMYFUNCTION("""COMPUTED_VALUE"""),"Paracel Islands [GAZ:00010832]                    ")</f>
        <v>Paracel Islands [GAZ:00010832]                    </v>
      </c>
      <c r="C1748" s="34" t="str">
        <f>IFERROR(__xludf.DUMMYFUNCTION("""COMPUTED_VALUE"""),"GAZ:00010832")</f>
        <v>GAZ:00010832</v>
      </c>
      <c r="D1748" s="29" t="str">
        <f>IFERROR(__xludf.DUMMYFUNCTION("""COMPUTED_VALUE"""),"A group of small islands and reefs in the South China Sea, about one-third of the way from Vietnam to the Philippines.")</f>
        <v>A group of small islands and reefs in the South China Sea, about one-third of the way from Vietnam to the Philippines.</v>
      </c>
      <c r="H1748" s="56" t="s">
        <v>19</v>
      </c>
      <c r="I1748" s="56" t="s">
        <v>19</v>
      </c>
      <c r="J1748" s="56" t="s">
        <v>19</v>
      </c>
      <c r="K1748" s="55" t="str">
        <f t="shared" si="79"/>
        <v>International</v>
      </c>
    </row>
    <row r="1749" hidden="1">
      <c r="A1749" s="34"/>
      <c r="B1749" s="34" t="str">
        <f>IFERROR(__xludf.DUMMYFUNCTION("""COMPUTED_VALUE"""),"Paraguay [GAZ:00002933]                    ")</f>
        <v>Paraguay [GAZ:00002933]                    </v>
      </c>
      <c r="C1749" s="34" t="str">
        <f>IFERROR(__xludf.DUMMYFUNCTION("""COMPUTED_VALUE"""),"GAZ:00002933")</f>
        <v>GAZ:00002933</v>
      </c>
      <c r="D1749" s="29" t="str">
        <f>IFERROR(__xludf.DUMMYFUNCTION("""COMPUTED_VALUE"""),"A landlocked country in South America. It lies on both banks of the Paraguay River, bordering Argentina to the south and southwest, Brazil to the east and northeast, and Bolivia to the northwest, and is located in the very heart of South America. Paraguay"&amp;" consists of seventeen departments and one capital district (distrito capital). Each department is divided into districts.")</f>
        <v>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v>
      </c>
      <c r="H1749" s="56" t="s">
        <v>19</v>
      </c>
      <c r="I1749" s="56" t="s">
        <v>19</v>
      </c>
      <c r="J1749" s="56" t="s">
        <v>19</v>
      </c>
      <c r="K1749" s="55" t="str">
        <f t="shared" si="79"/>
        <v>International</v>
      </c>
    </row>
    <row r="1750" hidden="1">
      <c r="A1750" s="34"/>
      <c r="B1750" s="34" t="str">
        <f>IFERROR(__xludf.DUMMYFUNCTION("""COMPUTED_VALUE"""),"Peru [GAZ:00002932]                    ")</f>
        <v>Peru [GAZ:00002932]                    </v>
      </c>
      <c r="C1750" s="34" t="str">
        <f>IFERROR(__xludf.DUMMYFUNCTION("""COMPUTED_VALUE"""),"GAZ:00002932")</f>
        <v>GAZ:00002932</v>
      </c>
      <c r="D1750" s="29" t="str">
        <f>IFERROR(__xludf.DUMMYFUNCTION("""COMPUTED_VALUE"""),"A country in western South America. It is bordered on the north by Ecuador and Colombia, on the east by Brazil, on the southeast by Bolivia, on the south by Chile, and on the west by the Pacific Ocean. Peru is divided into 25 regions and the province of L"&amp;"ima. These regions are subdivided into provinces, which are composed of districts (provincias and distritos). There are 195 provinces and 1833 districts in Peru. The Lima Province, located in the central coast of the country, is unique in that it doesn't "&amp;"belong to any of the twenty-five regions. The city of Lima, which is the nation's capital, is located in this province. Callao is its own region, even though it only contains one province, the Constitutional Province of Callao.")</f>
        <v>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v>
      </c>
      <c r="H1750" s="56" t="s">
        <v>19</v>
      </c>
      <c r="I1750" s="56" t="s">
        <v>19</v>
      </c>
      <c r="J1750" s="56" t="s">
        <v>19</v>
      </c>
      <c r="K1750" s="55" t="str">
        <f t="shared" si="79"/>
        <v>International</v>
      </c>
    </row>
    <row r="1751" hidden="1">
      <c r="A1751" s="34"/>
      <c r="B1751" s="34" t="str">
        <f>IFERROR(__xludf.DUMMYFUNCTION("""COMPUTED_VALUE"""),"Philippines [GAZ:00004525]                    ")</f>
        <v>Philippines [GAZ:00004525]                    </v>
      </c>
      <c r="C1751" s="34" t="str">
        <f>IFERROR(__xludf.DUMMYFUNCTION("""COMPUTED_VALUE"""),"GAZ:00004525")</f>
        <v>GAZ:00004525</v>
      </c>
      <c r="D1751" s="29" t="str">
        <f>IFERROR(__xludf.DUMMYFUNCTION("""COMPUTED_VALUE"""),"An archipelagic nation located in Southeast Asia. The Philippine archipelago comprises 7,107 islands in the western Pacific Ocean, bordering countries such as Indonesia, Malaysia, Palau and the Republic of China, although it is the only Southeast Asian co"&amp;"untry to share no land borders with its neighbors. The Philippines is divided into three island groups: Luzon, Visayas, and Mindanao. These are divided into 17 regions, 81 provinces, 136 cities, 1,494 municipalities and 41,995 barangays.")</f>
        <v>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v>
      </c>
      <c r="H1751" s="56" t="s">
        <v>19</v>
      </c>
      <c r="I1751" s="56" t="s">
        <v>19</v>
      </c>
      <c r="J1751" s="56" t="s">
        <v>19</v>
      </c>
      <c r="K1751" s="55" t="str">
        <f t="shared" si="79"/>
        <v>International</v>
      </c>
    </row>
    <row r="1752" hidden="1">
      <c r="A1752" s="34"/>
      <c r="B1752" s="34" t="str">
        <f>IFERROR(__xludf.DUMMYFUNCTION("""COMPUTED_VALUE"""),"Pitcairn Islands [GAZ:00005867]                    ")</f>
        <v>Pitcairn Islands [GAZ:00005867]                    </v>
      </c>
      <c r="C1752" s="34" t="str">
        <f>IFERROR(__xludf.DUMMYFUNCTION("""COMPUTED_VALUE"""),"GAZ:00005867")</f>
        <v>GAZ:00005867</v>
      </c>
      <c r="D1752" s="29" t="str">
        <f>IFERROR(__xludf.DUMMYFUNCTION("""COMPUTED_VALUE"""),"A group of four islands in the southern Pacific Ocean. The Pitcairn Islands form the southeasternmost extension of the geological archipelago of the Tuamotus of French Polynesia.")</f>
        <v>A group of four islands in the southern Pacific Ocean. The Pitcairn Islands form the southeasternmost extension of the geological archipelago of the Tuamotus of French Polynesia.</v>
      </c>
      <c r="H1752" s="56" t="s">
        <v>19</v>
      </c>
      <c r="I1752" s="56" t="s">
        <v>19</v>
      </c>
      <c r="J1752" s="56" t="s">
        <v>19</v>
      </c>
      <c r="K1752" s="55" t="str">
        <f t="shared" si="79"/>
        <v>International</v>
      </c>
    </row>
    <row r="1753" hidden="1">
      <c r="A1753" s="34"/>
      <c r="B1753" s="34" t="str">
        <f>IFERROR(__xludf.DUMMYFUNCTION("""COMPUTED_VALUE"""),"Poland [GAZ:00002939]                    ")</f>
        <v>Poland [GAZ:00002939]                    </v>
      </c>
      <c r="C1753" s="34" t="str">
        <f>IFERROR(__xludf.DUMMYFUNCTION("""COMPUTED_VALUE"""),"GAZ:00002939")</f>
        <v>GAZ:00002939</v>
      </c>
      <c r="D1753" s="29" t="str">
        <f>IFERROR(__xludf.DUMMYFUNCTION("""COMPUTED_VALUE"""),"A country in Central Europe. Poland is bordered by Germany to the west; the Czech Republic and Slovakia to the south; Ukraine, Belarus and Lithuania to the east; and the Baltic Sea and Kaliningrad Oblast, a Russian exclave, to the north. The administrativ"&amp;"e division of Poland since 1999 has been based on three levels of subdivision. The territory of Poland is divided into voivodeships (provinces); these are further divided into powiats (counties), and these in turn are divided into gminas (communes or muni"&amp;"cipalities). Major cities normally have the status of both gmina and powiat. Poland currently has 16 voivodeships, 379 powiats (including 65 cities with powiat status), and 2,478 gminas.")</f>
        <v>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v>
      </c>
      <c r="H1753" s="56" t="s">
        <v>19</v>
      </c>
      <c r="I1753" s="56" t="s">
        <v>19</v>
      </c>
      <c r="J1753" s="56" t="s">
        <v>19</v>
      </c>
      <c r="K1753" s="55" t="str">
        <f t="shared" si="79"/>
        <v>International</v>
      </c>
    </row>
    <row r="1754" hidden="1">
      <c r="A1754" s="34"/>
      <c r="B1754" s="34" t="str">
        <f>IFERROR(__xludf.DUMMYFUNCTION("""COMPUTED_VALUE"""),"Portugal [GAZ:00004126]                    ")</f>
        <v>Portugal [GAZ:00004126]                    </v>
      </c>
      <c r="C1754" s="34" t="str">
        <f>IFERROR(__xludf.DUMMYFUNCTION("""COMPUTED_VALUE"""),"GAZ:00004126")</f>
        <v>GAZ:00004126</v>
      </c>
      <c r="D1754" s="29" t="str">
        <f>IFERROR(__xludf.DUMMYFUNCTION("""COMPUTED_VALUE"""),"That part of the Portugese Republic that occupies the W part of the Iberian Peninsula, and immediately adjacent islands.")</f>
        <v>That part of the Portugese Republic that occupies the W part of the Iberian Peninsula, and immediately adjacent islands.</v>
      </c>
      <c r="H1754" s="56" t="s">
        <v>19</v>
      </c>
      <c r="I1754" s="56" t="s">
        <v>19</v>
      </c>
      <c r="J1754" s="56" t="s">
        <v>19</v>
      </c>
      <c r="K1754" s="55" t="str">
        <f t="shared" si="79"/>
        <v>International</v>
      </c>
    </row>
    <row r="1755" hidden="1">
      <c r="A1755" s="34"/>
      <c r="B1755" s="34" t="str">
        <f>IFERROR(__xludf.DUMMYFUNCTION("""COMPUTED_VALUE"""),"Puerto Rico [GAZ:00006935]                    ")</f>
        <v>Puerto Rico [GAZ:00006935]                    </v>
      </c>
      <c r="C1755" s="34" t="str">
        <f>IFERROR(__xludf.DUMMYFUNCTION("""COMPUTED_VALUE"""),"GAZ:00006935")</f>
        <v>GAZ:00006935</v>
      </c>
      <c r="D1755" s="29" t="str">
        <f>IFERROR(__xludf.DUMMYFUNCTION("""COMPUTED_VALUE"""),"A semi-autonomous territory composed of an archipelago in the northeastern Caribbean, east of the Dominican Republic and west of the Virgin Islands, approximately 2,000 km off the coast of Florida (the nearest of the mainland United States).")</f>
        <v>A semi-autonomous territory composed of an archipelago in the northeastern Caribbean, east of the Dominican Republic and west of the Virgin Islands, approximately 2,000 km off the coast of Florida (the nearest of the mainland United States).</v>
      </c>
      <c r="H1755" s="56" t="s">
        <v>19</v>
      </c>
      <c r="I1755" s="56" t="s">
        <v>19</v>
      </c>
      <c r="J1755" s="56" t="s">
        <v>19</v>
      </c>
      <c r="K1755" s="55" t="str">
        <f t="shared" si="79"/>
        <v>International</v>
      </c>
    </row>
    <row r="1756" hidden="1">
      <c r="A1756" s="34"/>
      <c r="B1756" s="34" t="str">
        <f>IFERROR(__xludf.DUMMYFUNCTION("""COMPUTED_VALUE"""),"Qatar [GAZ:00005286]                    ")</f>
        <v>Qatar [GAZ:00005286]                    </v>
      </c>
      <c r="C1756" s="34" t="str">
        <f>IFERROR(__xludf.DUMMYFUNCTION("""COMPUTED_VALUE"""),"GAZ:00005286")</f>
        <v>GAZ:00005286</v>
      </c>
      <c r="D1756" s="29" t="str">
        <f>IFERROR(__xludf.DUMMYFUNCTION("""COMPUTED_VALUE"""),"An Arab emirate in Southwest Asia, occupying the small Qatar Peninsula on the northeasterly coast of the larger Arabian Peninsula. It is bordered by Saudi Arabia to the south; otherwise the Persian Gulf surrounds the state. Qatar is divided into ten munic"&amp;"ipalities (Arabic: baladiyah), which are further divided into zones (districts).")</f>
        <v>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v>
      </c>
      <c r="H1756" s="56" t="s">
        <v>19</v>
      </c>
      <c r="I1756" s="56" t="s">
        <v>19</v>
      </c>
      <c r="J1756" s="56" t="s">
        <v>19</v>
      </c>
      <c r="K1756" s="55" t="str">
        <f t="shared" si="79"/>
        <v>International</v>
      </c>
    </row>
    <row r="1757" hidden="1">
      <c r="A1757" s="34"/>
      <c r="B1757" s="34" t="str">
        <f>IFERROR(__xludf.DUMMYFUNCTION("""COMPUTED_VALUE"""),"Republic of the Congo [GAZ:00001088]                    ")</f>
        <v>Republic of the Congo [GAZ:00001088]                    </v>
      </c>
      <c r="C1757" s="34" t="str">
        <f>IFERROR(__xludf.DUMMYFUNCTION("""COMPUTED_VALUE"""),"GAZ:00001088")</f>
        <v>GAZ:00001088</v>
      </c>
      <c r="D1757" s="29" t="str">
        <f>IFERROR(__xludf.DUMMYFUNCTION("""COMPUTED_VALUE"""),"A country in Central Africa. It is bordered by Gabon, Cameroon, the Central African Republic, the Democratic Republic of the Congo, the Angolan exclave province of Cabinda, and the Gulf of Guinea. The Republic of the Congo is divided into 10 regions (regi"&amp;"ons) and one commune, the capital Brazzaville. The regions are subdivided into forty-six districts.")</f>
        <v>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v>
      </c>
      <c r="H1757" s="56" t="s">
        <v>19</v>
      </c>
      <c r="I1757" s="56" t="s">
        <v>19</v>
      </c>
      <c r="J1757" s="56" t="s">
        <v>19</v>
      </c>
      <c r="K1757" s="55" t="str">
        <f t="shared" si="79"/>
        <v>International</v>
      </c>
    </row>
    <row r="1758" hidden="1">
      <c r="A1758" s="34"/>
      <c r="B1758" s="34" t="str">
        <f>IFERROR(__xludf.DUMMYFUNCTION("""COMPUTED_VALUE"""),"Reunion [GAZ:00003945]                    ")</f>
        <v>Reunion [GAZ:00003945]                    </v>
      </c>
      <c r="C1758" s="34" t="str">
        <f>IFERROR(__xludf.DUMMYFUNCTION("""COMPUTED_VALUE"""),"GAZ:00003945")</f>
        <v>GAZ:00003945</v>
      </c>
      <c r="D1758" s="29" t="str">
        <f>IFERROR(__xludf.DUMMYFUNCTION("""COMPUTED_VALUE"""),"An island, located in the Indian Ocean east of Madagascar, about 200 km south west of Mauritius, the nearest island.")</f>
        <v>An island, located in the Indian Ocean east of Madagascar, about 200 km south west of Mauritius, the nearest island.</v>
      </c>
      <c r="H1758" s="56" t="s">
        <v>19</v>
      </c>
      <c r="I1758" s="56" t="s">
        <v>19</v>
      </c>
      <c r="J1758" s="56" t="s">
        <v>19</v>
      </c>
      <c r="K1758" s="55" t="str">
        <f t="shared" si="79"/>
        <v>International</v>
      </c>
    </row>
    <row r="1759" hidden="1">
      <c r="A1759" s="34"/>
      <c r="B1759" s="34" t="str">
        <f>IFERROR(__xludf.DUMMYFUNCTION("""COMPUTED_VALUE"""),"Romania [GAZ:00002951]                    ")</f>
        <v>Romania [GAZ:00002951]                    </v>
      </c>
      <c r="C1759" s="34" t="str">
        <f>IFERROR(__xludf.DUMMYFUNCTION("""COMPUTED_VALUE"""),"GAZ:00002951")</f>
        <v>GAZ:00002951</v>
      </c>
      <c r="D1759" s="29" t="str">
        <f>IFERROR(__xludf.DUMMYFUNCTION("""COMPUTED_VALUE"""),"A country in Southeastern Europe. It shares a border with Hungary and Serbia to the west, Ukraine and the Republic of Moldova to the northeast, and Bulgaria to the south. Romania has a stretch of sea coast along the Black Sea. It is located roughly in the"&amp;" lower basin of the Danube and almost all of the Danube Delta is located within its territory. Romania is divided into forty-one counties (judete), as well as the municipality of Bucharest (Bucuresti) - which is its own administrative unit. The country is"&amp;" further subdivided into 319 cities and 2686 communes (rural localities).")</f>
        <v>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v>
      </c>
      <c r="H1759" s="56" t="s">
        <v>19</v>
      </c>
      <c r="I1759" s="56" t="s">
        <v>19</v>
      </c>
      <c r="J1759" s="56" t="s">
        <v>19</v>
      </c>
      <c r="K1759" s="55" t="str">
        <f t="shared" si="79"/>
        <v>International</v>
      </c>
    </row>
    <row r="1760" hidden="1">
      <c r="A1760" s="34"/>
      <c r="B1760" s="34" t="str">
        <f>IFERROR(__xludf.DUMMYFUNCTION("""COMPUTED_VALUE"""),"Ross Sea [GAZ:00023304]                    ")</f>
        <v>Ross Sea [GAZ:00023304]                    </v>
      </c>
      <c r="C1760" s="34" t="str">
        <f>IFERROR(__xludf.DUMMYFUNCTION("""COMPUTED_VALUE"""),"GAZ:00023304")</f>
        <v>GAZ:00023304</v>
      </c>
      <c r="D1760" s="29" t="str">
        <f>IFERROR(__xludf.DUMMYFUNCTION("""COMPUTED_VALUE"""),"A large embayment of the Southern Ocean, extending deeply into Antarctica between Cape Adare, at 170degE, on the west and Cape Colbeck on the east, at 158degW.")</f>
        <v>A large embayment of the Southern Ocean, extending deeply into Antarctica between Cape Adare, at 170degE, on the west and Cape Colbeck on the east, at 158degW.</v>
      </c>
      <c r="H1760" s="56" t="s">
        <v>19</v>
      </c>
      <c r="I1760" s="56" t="s">
        <v>19</v>
      </c>
      <c r="J1760" s="56" t="s">
        <v>19</v>
      </c>
      <c r="K1760" s="55" t="str">
        <f t="shared" si="79"/>
        <v>International</v>
      </c>
    </row>
    <row r="1761" hidden="1">
      <c r="A1761" s="34"/>
      <c r="B1761" s="34" t="str">
        <f>IFERROR(__xludf.DUMMYFUNCTION("""COMPUTED_VALUE"""),"Russia [GAZ:00002721]                    ")</f>
        <v>Russia [GAZ:00002721]                    </v>
      </c>
      <c r="C1761" s="34" t="str">
        <f>IFERROR(__xludf.DUMMYFUNCTION("""COMPUTED_VALUE"""),"GAZ:00002721")</f>
        <v>GAZ:00002721</v>
      </c>
      <c r="D1761" s="29" t="str">
        <f>IFERROR(__xludf.DUMMYFUNCTION("""COMPUTED_VALUE"""),"A transcontinental country extending over much of northern Eurasia. Russia shares land borders with the following countries (counter-clockwise from northwest to southeast): Norway, Finland, Estonia, Latvia, Lithuania (Kaliningrad Oblast), Poland (Kalining"&amp;"rad Oblast), Belarus, Ukraine, Georgia, Azerbaijan, Kazakhstan, China, Mongolia and North Korea. The Russian Federation comprises 83 federal subjectsm 46 oblasts(provinces), 21 republics, 9 krais (territories), 4 autonomous okrugs (autonomous districts), "&amp;"one autonomous oblast, and two federal cities. The federal subjects are grouped into seven federal districts. These subjects are divided into districts (raions), cities/towns and urban-type settlements, and, at level 4, selsovets (rural councils), towns a"&amp;"nd urban-type settlements under the jurisdiction of the district and city districts.")</f>
        <v>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v>
      </c>
      <c r="H1761" s="56" t="s">
        <v>19</v>
      </c>
      <c r="I1761" s="56" t="s">
        <v>19</v>
      </c>
      <c r="J1761" s="56" t="s">
        <v>19</v>
      </c>
      <c r="K1761" s="55" t="str">
        <f t="shared" si="79"/>
        <v>International</v>
      </c>
    </row>
    <row r="1762" hidden="1">
      <c r="A1762" s="34"/>
      <c r="B1762" s="34" t="str">
        <f>IFERROR(__xludf.DUMMYFUNCTION("""COMPUTED_VALUE"""),"Rwanda [GAZ:00001087]                    ")</f>
        <v>Rwanda [GAZ:00001087]                    </v>
      </c>
      <c r="C1762" s="34" t="str">
        <f>IFERROR(__xludf.DUMMYFUNCTION("""COMPUTED_VALUE"""),"GAZ:00001087")</f>
        <v>GAZ:00001087</v>
      </c>
      <c r="D1762" s="29" t="str">
        <f>IFERROR(__xludf.DUMMYFUNCTION("""COMPUTED_VALUE"""),"A small landlocked country in the Great Lakes region of east-central Africa, bordered by Uganda, Burundi, the Democratic Republic of the Congo and Tanzania. Rwanda is divided into five provinces (intara) and subdivided into thirty districts (akarere). The"&amp;" districts are divided into sectors (imirenge).")</f>
        <v>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v>
      </c>
      <c r="H1762" s="56" t="s">
        <v>19</v>
      </c>
      <c r="I1762" s="56" t="s">
        <v>19</v>
      </c>
      <c r="J1762" s="56" t="s">
        <v>19</v>
      </c>
      <c r="K1762" s="55" t="str">
        <f t="shared" si="79"/>
        <v>International</v>
      </c>
    </row>
    <row r="1763" hidden="1">
      <c r="A1763" s="34"/>
      <c r="B1763" s="34" t="str">
        <f>IFERROR(__xludf.DUMMYFUNCTION("""COMPUTED_VALUE"""),"Saint Helena [GAZ:00000849]                    ")</f>
        <v>Saint Helena [GAZ:00000849]                    </v>
      </c>
      <c r="C1763" s="34" t="str">
        <f>IFERROR(__xludf.DUMMYFUNCTION("""COMPUTED_VALUE"""),"GAZ:00000849")</f>
        <v>GAZ:00000849</v>
      </c>
      <c r="D1763" s="29" t="str">
        <f>IFERROR(__xludf.DUMMYFUNCTION("""COMPUTED_VALUE"""),"An island of volcanic origin and a British overseas territory in the South Atlantic Ocean.")</f>
        <v>An island of volcanic origin and a British overseas territory in the South Atlantic Ocean.</v>
      </c>
      <c r="H1763" s="56" t="s">
        <v>19</v>
      </c>
      <c r="I1763" s="56" t="s">
        <v>19</v>
      </c>
      <c r="J1763" s="56" t="s">
        <v>19</v>
      </c>
      <c r="K1763" s="55" t="str">
        <f t="shared" si="79"/>
        <v>International</v>
      </c>
    </row>
    <row r="1764" hidden="1">
      <c r="A1764" s="34"/>
      <c r="B1764" s="34" t="str">
        <f>IFERROR(__xludf.DUMMYFUNCTION("""COMPUTED_VALUE"""),"Saint Kitts and Nevis [GAZ:00006906]                    ")</f>
        <v>Saint Kitts and Nevis [GAZ:00006906]                    </v>
      </c>
      <c r="C1764" s="34" t="str">
        <f>IFERROR(__xludf.DUMMYFUNCTION("""COMPUTED_VALUE"""),"GAZ:00006906")</f>
        <v>GAZ:00006906</v>
      </c>
      <c r="D1764" s="29" t="str">
        <f>IFERROR(__xludf.DUMMYFUNCTION("""COMPUTED_VALUE"""),"A federal two-island nation in the West Indies. Located in the Leeward Islands. Saint Kitts and Nevis are geographically part of the Leeward Islands. To the north-northwest lie the islands of Saint Eustatius, Saba, Saint Barthelemy, and Saint-Martin/Sint "&amp;"Maarten. To the east and northeast are Antigua and Barbuda, and to the southeast is the small uninhabited island of Redonda, and the island of Montserrat. The federation of Saint Kitts and Nevis is divided into fourteen parishes: nine divisions on Saint K"&amp;"itts and five on Nevis.")</f>
        <v>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v>
      </c>
      <c r="H1764" s="56" t="s">
        <v>19</v>
      </c>
      <c r="I1764" s="56" t="s">
        <v>19</v>
      </c>
      <c r="J1764" s="56" t="s">
        <v>19</v>
      </c>
      <c r="K1764" s="55" t="str">
        <f t="shared" si="79"/>
        <v>International</v>
      </c>
    </row>
    <row r="1765" hidden="1">
      <c r="A1765" s="34"/>
      <c r="B1765" s="34" t="str">
        <f>IFERROR(__xludf.DUMMYFUNCTION("""COMPUTED_VALUE"""),"Saint Lucia [GAZ:00006909]                    ")</f>
        <v>Saint Lucia [GAZ:00006909]                    </v>
      </c>
      <c r="C1765" s="34" t="str">
        <f>IFERROR(__xludf.DUMMYFUNCTION("""COMPUTED_VALUE"""),"GAZ:00006909")</f>
        <v>GAZ:00006909</v>
      </c>
      <c r="D1765" s="29" t="str">
        <f>IFERROR(__xludf.DUMMYFUNCTION("""COMPUTED_VALUE"""),"An island nation in the eastern Caribbean Sea on the boundary with the Atlantic Ocean.")</f>
        <v>An island nation in the eastern Caribbean Sea on the boundary with the Atlantic Ocean.</v>
      </c>
      <c r="H1765" s="56" t="s">
        <v>19</v>
      </c>
      <c r="I1765" s="56" t="s">
        <v>19</v>
      </c>
      <c r="J1765" s="56" t="s">
        <v>19</v>
      </c>
      <c r="K1765" s="55" t="str">
        <f t="shared" si="79"/>
        <v>International</v>
      </c>
    </row>
    <row r="1766" hidden="1">
      <c r="A1766" s="34"/>
      <c r="B1766" s="34" t="str">
        <f>IFERROR(__xludf.DUMMYFUNCTION("""COMPUTED_VALUE"""),"Saint Pierre and Miquelon [GAZ:00003942]                    ")</f>
        <v>Saint Pierre and Miquelon [GAZ:00003942]                    </v>
      </c>
      <c r="C1766" s="34" t="str">
        <f>IFERROR(__xludf.DUMMYFUNCTION("""COMPUTED_VALUE"""),"GAZ:00003942")</f>
        <v>GAZ:00003942</v>
      </c>
      <c r="D1766" s="29" t="str">
        <f>IFERROR(__xludf.DUMMYFUNCTION("""COMPUTED_VALUE"""),"An Overseas Collectivity of France located in a group of small islands in the North Atlantic Ocean, the main ones being Saint Pierre and Miquelon, 25 km off the coast of Newfoundland, Canada. Saint Pierre and Miquelon became an overseas department in 1976"&amp;", but its status changed to that of an Overseas collectivity in 1985.")</f>
        <v>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v>
      </c>
      <c r="H1766" s="56" t="s">
        <v>19</v>
      </c>
      <c r="I1766" s="56" t="s">
        <v>19</v>
      </c>
      <c r="J1766" s="56" t="s">
        <v>19</v>
      </c>
      <c r="K1766" s="55" t="str">
        <f t="shared" si="79"/>
        <v>International</v>
      </c>
    </row>
    <row r="1767" hidden="1">
      <c r="A1767" s="34"/>
      <c r="B1767" s="34" t="str">
        <f>IFERROR(__xludf.DUMMYFUNCTION("""COMPUTED_VALUE"""),"Saint Martin [GAZ:00005841]                    ")</f>
        <v>Saint Martin [GAZ:00005841]                    </v>
      </c>
      <c r="C1767" s="34" t="str">
        <f>IFERROR(__xludf.DUMMYFUNCTION("""COMPUTED_VALUE"""),"GAZ:00005841")</f>
        <v>GAZ:00005841</v>
      </c>
      <c r="D1767" s="29" t="str">
        <f>IFERROR(__xludf.DUMMYFUNCTION("""COMPUTED_VALUE"""),"An overseas collectivity of France that came into being on 2007-02-22, encompassing the northern parts of the island of Saint Martin and neighboring islets. The southern part of the island, Sint Maarten, is part of the Netherlands Antilles. Formerly, with"&amp;" Saint-Barthelemy, an arrondissement of Guadeloupe.")</f>
        <v>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v>
      </c>
      <c r="H1767" s="56" t="s">
        <v>19</v>
      </c>
      <c r="I1767" s="56" t="s">
        <v>19</v>
      </c>
      <c r="J1767" s="56" t="s">
        <v>19</v>
      </c>
      <c r="K1767" s="55" t="str">
        <f t="shared" si="79"/>
        <v>International</v>
      </c>
    </row>
    <row r="1768" hidden="1">
      <c r="A1768" s="34"/>
      <c r="B1768" s="34" t="str">
        <f>IFERROR(__xludf.DUMMYFUNCTION("""COMPUTED_VALUE"""),"Saint Vincent and the Grenadines [GAZ:02000565]                    ")</f>
        <v>Saint Vincent and the Grenadines [GAZ:02000565]                    </v>
      </c>
      <c r="C1768" s="34" t="str">
        <f>IFERROR(__xludf.DUMMYFUNCTION("""COMPUTED_VALUE"""),"GAZ:02000565")</f>
        <v>GAZ:02000565</v>
      </c>
      <c r="D1768" s="29" t="str">
        <f>IFERROR(__xludf.DUMMYFUNCTION("""COMPUTED_VALUE"""),"An island nation in the Lesser Antilles chain of the Caribbean Sea.")</f>
        <v>An island nation in the Lesser Antilles chain of the Caribbean Sea.</v>
      </c>
      <c r="H1768" s="56" t="s">
        <v>19</v>
      </c>
      <c r="I1768" s="56" t="s">
        <v>19</v>
      </c>
      <c r="J1768" s="56" t="s">
        <v>19</v>
      </c>
      <c r="K1768" s="55" t="str">
        <f t="shared" si="79"/>
        <v>International</v>
      </c>
    </row>
    <row r="1769" hidden="1">
      <c r="A1769" s="34"/>
      <c r="B1769" s="34" t="str">
        <f>IFERROR(__xludf.DUMMYFUNCTION("""COMPUTED_VALUE"""),"Samoa [GAZ:00006910]                    ")</f>
        <v>Samoa [GAZ:00006910]                    </v>
      </c>
      <c r="C1769" s="34" t="str">
        <f>IFERROR(__xludf.DUMMYFUNCTION("""COMPUTED_VALUE"""),"GAZ:00006910")</f>
        <v>GAZ:00006910</v>
      </c>
      <c r="D1769" s="29" t="str">
        <f>IFERROR(__xludf.DUMMYFUNCTION("""COMPUTED_VALUE"""),"A country governing the western part of the Samoan Islands archipelago in the South Pacific Ocean. Samoa is made up of eleven itumalo (political districts).")</f>
        <v>A country governing the western part of the Samoan Islands archipelago in the South Pacific Ocean. Samoa is made up of eleven itumalo (political districts).</v>
      </c>
      <c r="H1769" s="56" t="s">
        <v>19</v>
      </c>
      <c r="I1769" s="56" t="s">
        <v>19</v>
      </c>
      <c r="J1769" s="56" t="s">
        <v>19</v>
      </c>
      <c r="K1769" s="55" t="str">
        <f t="shared" si="79"/>
        <v>International</v>
      </c>
    </row>
    <row r="1770" hidden="1">
      <c r="A1770" s="34"/>
      <c r="B1770" s="34" t="str">
        <f>IFERROR(__xludf.DUMMYFUNCTION("""COMPUTED_VALUE"""),"San Marino [GAZ:00003102]                    ")</f>
        <v>San Marino [GAZ:00003102]                    </v>
      </c>
      <c r="C1770" s="34" t="str">
        <f>IFERROR(__xludf.DUMMYFUNCTION("""COMPUTED_VALUE"""),"GAZ:00003102")</f>
        <v>GAZ:00003102</v>
      </c>
      <c r="D1770" s="29" t="str">
        <f>IFERROR(__xludf.DUMMYFUNCTION("""COMPUTED_VALUE"""),"A country in the Apennine Mountains. It is a landlocked enclave, completely surrounded by Italy. San Marino is an enclave in Italy, on the border between the regioni of Emilia Romagna and Marche. Its topography is dominated by the Apennines mountain range"&amp;". San Marino is divided into nine municipalities, known locally as Castelli (singular castello).")</f>
        <v>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v>
      </c>
      <c r="H1770" s="56" t="s">
        <v>19</v>
      </c>
      <c r="I1770" s="56" t="s">
        <v>19</v>
      </c>
      <c r="J1770" s="56" t="s">
        <v>19</v>
      </c>
      <c r="K1770" s="55" t="str">
        <f t="shared" si="79"/>
        <v>International</v>
      </c>
    </row>
    <row r="1771" hidden="1">
      <c r="A1771" s="34"/>
      <c r="B1771" s="34" t="str">
        <f>IFERROR(__xludf.DUMMYFUNCTION("""COMPUTED_VALUE"""),"Sao Tome and Principe [GAZ:00006927]                    ")</f>
        <v>Sao Tome and Principe [GAZ:00006927]                    </v>
      </c>
      <c r="C1771" s="34" t="str">
        <f>IFERROR(__xludf.DUMMYFUNCTION("""COMPUTED_VALUE"""),"GAZ:00006927")</f>
        <v>GAZ:00006927</v>
      </c>
      <c r="D1771" s="29" t="str">
        <f>IFERROR(__xludf.DUMMYFUNCTION("""COMPUTED_VALUE"""),"An island nation in the Gulf of Guinea, off the western equatorial coast of Africa. It consists of two islands: Sao Tome and Principe, located about 140 km apart and about 250 and 225 km respectively, off of the northwestern coast of Gabon. Both islands a"&amp;"re part of an extinct volcanic mountain range. Sao Tome and Principe is divided into 2 provinces: Principe, Sao Tome. The provinces are further divided into seven districts, six on Sao Tome and one on Principe (with Principe having self-government since 1"&amp;"995-04-29).")</f>
        <v>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v>
      </c>
      <c r="H1771" s="56" t="s">
        <v>19</v>
      </c>
      <c r="I1771" s="56" t="s">
        <v>19</v>
      </c>
      <c r="J1771" s="56" t="s">
        <v>19</v>
      </c>
      <c r="K1771" s="55" t="str">
        <f t="shared" si="79"/>
        <v>International</v>
      </c>
    </row>
    <row r="1772" hidden="1">
      <c r="A1772" s="34"/>
      <c r="B1772" s="34" t="str">
        <f>IFERROR(__xludf.DUMMYFUNCTION("""COMPUTED_VALUE"""),"Saudi Arabia [GAZ:00005279]                    ")</f>
        <v>Saudi Arabia [GAZ:00005279]                    </v>
      </c>
      <c r="C1772" s="34" t="str">
        <f>IFERROR(__xludf.DUMMYFUNCTION("""COMPUTED_VALUE"""),"GAZ:00005279")</f>
        <v>GAZ:00005279</v>
      </c>
      <c r="D1772" s="29" t="str">
        <f>IFERROR(__xludf.DUMMYFUNCTION("""COMPUTED_VALUE"""),"A country on the Arabian Peninsula. It is bordered by Jordan on the northwest, Iraq on the north and northeast, Kuwait, Qatar, Bahrain, and the United Arab Emirates on the east, Oman on the southeast, and Yemen on the south. The Persian Gulf lies to the n"&amp;"ortheast and the Red Sea to its west. Saudi Arabia is divided into 13 provinces or regions (manatiq; singular mintaqah). Each is then divided into Governorates.")</f>
        <v>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v>
      </c>
      <c r="H1772" s="56" t="s">
        <v>19</v>
      </c>
      <c r="I1772" s="56" t="s">
        <v>19</v>
      </c>
      <c r="J1772" s="56" t="s">
        <v>19</v>
      </c>
      <c r="K1772" s="55" t="str">
        <f t="shared" si="79"/>
        <v>International</v>
      </c>
    </row>
    <row r="1773" hidden="1">
      <c r="A1773" s="34"/>
      <c r="B1773" s="34" t="str">
        <f>IFERROR(__xludf.DUMMYFUNCTION("""COMPUTED_VALUE"""),"Senegal [GAZ:00000913]                    ")</f>
        <v>Senegal [GAZ:00000913]                    </v>
      </c>
      <c r="C1773" s="34" t="str">
        <f>IFERROR(__xludf.DUMMYFUNCTION("""COMPUTED_VALUE"""),"GAZ:00000913")</f>
        <v>GAZ:00000913</v>
      </c>
      <c r="D1773" s="29" t="str">
        <f>IFERROR(__xludf.DUMMYFUNCTION("""COMPUTED_VALUE"""),"A country south of the Senegal River in western Africa. Senegal is bounded by the Atlantic Ocean to the west, Mauritania to the north, Mali to the east, and Guinea and Guinea-Bissau to the south. The Gambia lies almost entirely within Senegal, surrounded "&amp;"on the north, east and south; from its western coast Gambia's territory follows the Gambia River more than 300 km inland. Dakar is the capital city of Senegal, located on the Cape Verde Peninsula on the country's Atlantic coast. Senegal is subdivided into"&amp;" 11 regions and further subdivided into 34 Departements, 103 Arrondissements (neither of which have administrative function) and by Collectivites Locales.")</f>
        <v>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v>
      </c>
      <c r="H1773" s="56" t="s">
        <v>19</v>
      </c>
      <c r="I1773" s="56" t="s">
        <v>19</v>
      </c>
      <c r="J1773" s="56" t="s">
        <v>19</v>
      </c>
      <c r="K1773" s="55" t="str">
        <f t="shared" si="79"/>
        <v>International</v>
      </c>
    </row>
    <row r="1774" hidden="1">
      <c r="A1774" s="34"/>
      <c r="B1774" s="34" t="str">
        <f>IFERROR(__xludf.DUMMYFUNCTION("""COMPUTED_VALUE"""),"Serbia [GAZ:00002957]                    ")</f>
        <v>Serbia [GAZ:00002957]                    </v>
      </c>
      <c r="C1774" s="34" t="str">
        <f>IFERROR(__xludf.DUMMYFUNCTION("""COMPUTED_VALUE"""),"GAZ:00002957")</f>
        <v>GAZ:00002957</v>
      </c>
      <c r="D1774" s="29" t="str">
        <f>IFERROR(__xludf.DUMMYFUNCTION("""COMPUTED_VALUE"""),"A landlocked country in Central and Southeastern Europe, covering the southern part of the Pannonian Plain and the central part of the Balkan Peninsula. It is bordered by Hungary to the north; Romania and Bulgaria to the east; Republic of Macedonia, Monte"&amp;"negro to the south; Croatia and Bosnia and Herzegovina to the west. The capital is Belgrade. Serbia is divided into 29 districts plus the City of Belgrade. The districts and the city of Belgrade are further divided into municipalities. Serbia has two auto"&amp;"nomous provinces: Kosovo and Metohija in the south (5 districts, 30 municipalities), and Vojvodina in the north (7 districts, 46 municipalities).")</f>
        <v>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v>
      </c>
      <c r="H1774" s="56" t="s">
        <v>19</v>
      </c>
      <c r="I1774" s="56" t="s">
        <v>19</v>
      </c>
      <c r="J1774" s="56" t="s">
        <v>19</v>
      </c>
      <c r="K1774" s="55" t="str">
        <f t="shared" si="79"/>
        <v>International</v>
      </c>
    </row>
    <row r="1775" hidden="1">
      <c r="A1775" s="34"/>
      <c r="B1775" s="34" t="str">
        <f>IFERROR(__xludf.DUMMYFUNCTION("""COMPUTED_VALUE"""),"Seychelles [GAZ:00006922]                    ")</f>
        <v>Seychelles [GAZ:00006922]                    </v>
      </c>
      <c r="C1775" s="34" t="str">
        <f>IFERROR(__xludf.DUMMYFUNCTION("""COMPUTED_VALUE"""),"GAZ:00006922")</f>
        <v>GAZ:00006922</v>
      </c>
      <c r="D1775" s="29" t="str">
        <f>IFERROR(__xludf.DUMMYFUNCTION("""COMPUTED_VALUE"""),"An archipelagic island country in the Indian Ocean at the eastern edge of the Somali Sea. It consists of 115 islands.")</f>
        <v>An archipelagic island country in the Indian Ocean at the eastern edge of the Somali Sea. It consists of 115 islands.</v>
      </c>
      <c r="H1775" s="56" t="s">
        <v>19</v>
      </c>
      <c r="I1775" s="56" t="s">
        <v>19</v>
      </c>
      <c r="J1775" s="56" t="s">
        <v>19</v>
      </c>
      <c r="K1775" s="55" t="str">
        <f t="shared" si="79"/>
        <v>International</v>
      </c>
    </row>
    <row r="1776" hidden="1">
      <c r="A1776" s="34"/>
      <c r="B1776" s="34" t="str">
        <f>IFERROR(__xludf.DUMMYFUNCTION("""COMPUTED_VALUE"""),"Sierra Leone [GAZ:00000914]                    ")</f>
        <v>Sierra Leone [GAZ:00000914]                    </v>
      </c>
      <c r="C1776" s="34" t="str">
        <f>IFERROR(__xludf.DUMMYFUNCTION("""COMPUTED_VALUE"""),"GAZ:00000914")</f>
        <v>GAZ:00000914</v>
      </c>
      <c r="D1776" s="29" t="str">
        <f>IFERROR(__xludf.DUMMYFUNCTION("""COMPUTED_VALUE"""),"A country in West Africa. It is bordered by Guinea in the north and east, Liberia in the southeast, and the Atlantic Ocean in the southwest and west. The Republic of Sierra Leone is composed of 3 provinces and one area called the Western Area; the provinc"&amp;"es are further divided into 12 districts. The Western Area is also divided into 2 districts.")</f>
        <v>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v>
      </c>
      <c r="H1776" s="56" t="s">
        <v>19</v>
      </c>
      <c r="I1776" s="56" t="s">
        <v>19</v>
      </c>
      <c r="J1776" s="56" t="s">
        <v>19</v>
      </c>
      <c r="K1776" s="55" t="str">
        <f t="shared" si="79"/>
        <v>International</v>
      </c>
    </row>
    <row r="1777" hidden="1">
      <c r="A1777" s="34"/>
      <c r="B1777" s="34" t="str">
        <f>IFERROR(__xludf.DUMMYFUNCTION("""COMPUTED_VALUE"""),"Singapore [GAZ:00003923]                    ")</f>
        <v>Singapore [GAZ:00003923]                    </v>
      </c>
      <c r="C1777" s="34" t="str">
        <f>IFERROR(__xludf.DUMMYFUNCTION("""COMPUTED_VALUE"""),"GAZ:00003923")</f>
        <v>GAZ:00003923</v>
      </c>
      <c r="D1777" s="29" t="str">
        <f>IFERROR(__xludf.DUMMYFUNCTION("""COMPUTED_VALUE"""),"An island nation located at the southern tip of the Malay Peninsula. It lies 137 km north of the Equator, south of the Malaysian State of Johor and north of Indonesia's Riau Islands. Singapore consists of 63 islands, including mainland Singapore. There ar"&amp;"e two man-made connections to Johor, Malaysia, Johor-Singapore Causeway in the north, and Tuas Second Link in the west. Since 2001-11-24, Singapore has had an administrative subdivision into 5 districts. It is also divided into five Regions, urban plannin"&amp;"g subdivisions with no administrative role.")</f>
        <v>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v>
      </c>
      <c r="H1777" s="56" t="s">
        <v>19</v>
      </c>
      <c r="I1777" s="56" t="s">
        <v>19</v>
      </c>
      <c r="J1777" s="56" t="s">
        <v>19</v>
      </c>
      <c r="K1777" s="55" t="str">
        <f t="shared" si="79"/>
        <v>International</v>
      </c>
    </row>
    <row r="1778" hidden="1">
      <c r="A1778" s="34"/>
      <c r="B1778" s="34" t="str">
        <f>IFERROR(__xludf.DUMMYFUNCTION("""COMPUTED_VALUE"""),"Sint Maarten [GAZ:00012579]                    ")</f>
        <v>Sint Maarten [GAZ:00012579]                    </v>
      </c>
      <c r="C1778" s="34" t="str">
        <f>IFERROR(__xludf.DUMMYFUNCTION("""COMPUTED_VALUE"""),"GAZ:00012579")</f>
        <v>GAZ:00012579</v>
      </c>
      <c r="D1778" s="29" t="str">
        <f>IFERROR(__xludf.DUMMYFUNCTION("""COMPUTED_VALUE"""),"One of five island areas (Eilandgebieden) of the Netherlands Antilles, encompassing the southern half of the island of Saint Martin/Sint Maarten.")</f>
        <v>One of five island areas (Eilandgebieden) of the Netherlands Antilles, encompassing the southern half of the island of Saint Martin/Sint Maarten.</v>
      </c>
      <c r="H1778" s="56" t="s">
        <v>19</v>
      </c>
      <c r="I1778" s="56" t="s">
        <v>19</v>
      </c>
      <c r="J1778" s="56" t="s">
        <v>19</v>
      </c>
      <c r="K1778" s="55" t="str">
        <f t="shared" si="79"/>
        <v>International</v>
      </c>
    </row>
    <row r="1779" hidden="1">
      <c r="A1779" s="34"/>
      <c r="B1779" s="34" t="str">
        <f>IFERROR(__xludf.DUMMYFUNCTION("""COMPUTED_VALUE"""),"Slovakia [GAZ:00002956]                    ")</f>
        <v>Slovakia [GAZ:00002956]                    </v>
      </c>
      <c r="C1779" s="34" t="str">
        <f>IFERROR(__xludf.DUMMYFUNCTION("""COMPUTED_VALUE"""),"GAZ:00002956")</f>
        <v>GAZ:00002956</v>
      </c>
      <c r="D1779" s="29" t="str">
        <f>IFERROR(__xludf.DUMMYFUNCTION("""COMPUTED_VALUE"""),"A landlocked country in Central Europe. The Slovak Republic borders the Czech Republic and Austria to the west, Poland to the north, Ukraine to the east and Hungary to the south. The largest city is its capital, Bratislava. Slovakia is subdivided into 8 k"&amp;"raje (singular - kraj, usually translated as regions. The kraje are subdivided into many okresy (singular okres, usually translated as districts). Slovakia currently has 79 districts.")</f>
        <v>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v>
      </c>
      <c r="H1779" s="56" t="s">
        <v>19</v>
      </c>
      <c r="I1779" s="56" t="s">
        <v>19</v>
      </c>
      <c r="J1779" s="56" t="s">
        <v>19</v>
      </c>
      <c r="K1779" s="55" t="str">
        <f t="shared" si="79"/>
        <v>International</v>
      </c>
    </row>
    <row r="1780" hidden="1">
      <c r="A1780" s="34"/>
      <c r="B1780" s="34" t="str">
        <f>IFERROR(__xludf.DUMMYFUNCTION("""COMPUTED_VALUE"""),"Slovenia [GAZ:00002955]                    ")</f>
        <v>Slovenia [GAZ:00002955]                    </v>
      </c>
      <c r="C1780" s="34" t="str">
        <f>IFERROR(__xludf.DUMMYFUNCTION("""COMPUTED_VALUE"""),"GAZ:00002955")</f>
        <v>GAZ:00002955</v>
      </c>
      <c r="D1780" s="29" t="str">
        <f>IFERROR(__xludf.DUMMYFUNCTION("""COMPUTED_VALUE"""),"A country in southern Central Europe bordering Italy to the west, the Adriatic Sea to the southwest, Croatia to the south and east, Hungary to the northeast, and Austria to the north. The capital of Slovenia is Ljubljana. As of 2005-05 Slovenia is divided"&amp;" into 12 statistical regions for legal and statistical purposes. Slovenia is divided into 210 local municipalities, eleven of which have urban status.")</f>
        <v>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v>
      </c>
      <c r="H1780" s="56" t="s">
        <v>19</v>
      </c>
      <c r="I1780" s="56" t="s">
        <v>19</v>
      </c>
      <c r="J1780" s="56" t="s">
        <v>19</v>
      </c>
      <c r="K1780" s="55" t="str">
        <f t="shared" si="79"/>
        <v>International</v>
      </c>
    </row>
    <row r="1781" hidden="1">
      <c r="A1781" s="34"/>
      <c r="B1781" s="34" t="str">
        <f>IFERROR(__xludf.DUMMYFUNCTION("""COMPUTED_VALUE"""),"Solomon Islands [GAZ:00005275]                    ")</f>
        <v>Solomon Islands [GAZ:00005275]                    </v>
      </c>
      <c r="C1781" s="34" t="str">
        <f>IFERROR(__xludf.DUMMYFUNCTION("""COMPUTED_VALUE"""),"GAZ:00005275")</f>
        <v>GAZ:00005275</v>
      </c>
      <c r="D1781" s="29" t="str">
        <f>IFERROR(__xludf.DUMMYFUNCTION("""COMPUTED_VALUE"""),"A nation in Melanesia, east of Papua New Guinea, consisting of nearly one thousand islands. Together they cover a land mass of 28,400 km2. The capital is Honiara, located on the island of Guadalcanal.")</f>
        <v>A nation in Melanesia, east of Papua New Guinea, consisting of nearly one thousand islands. Together they cover a land mass of 28,400 km2. The capital is Honiara, located on the island of Guadalcanal.</v>
      </c>
      <c r="H1781" s="56" t="s">
        <v>19</v>
      </c>
      <c r="I1781" s="56" t="s">
        <v>19</v>
      </c>
      <c r="J1781" s="56" t="s">
        <v>19</v>
      </c>
      <c r="K1781" s="55" t="str">
        <f t="shared" si="79"/>
        <v>International</v>
      </c>
    </row>
    <row r="1782" hidden="1">
      <c r="A1782" s="34"/>
      <c r="B1782" s="34" t="str">
        <f>IFERROR(__xludf.DUMMYFUNCTION("""COMPUTED_VALUE"""),"Somalia [GAZ:00001104]                    ")</f>
        <v>Somalia [GAZ:00001104]                    </v>
      </c>
      <c r="C1782" s="34" t="str">
        <f>IFERROR(__xludf.DUMMYFUNCTION("""COMPUTED_VALUE"""),"GAZ:00001104")</f>
        <v>GAZ:00001104</v>
      </c>
      <c r="D1782" s="29" t="str">
        <f>IFERROR(__xludf.DUMMYFUNCTION("""COMPUTED_VALUE"""),"A country located in the Horn of Africa. It is bordered by Djibouti to the northwest, Kenya on its southwest, the Gulf of Aden with Yemen on its north, the Indian Ocean at its east, and Ethiopia to the west. Prior to the civil war, Somalia was divided int"&amp;"o eighteen regions (gobollada, singular gobol), which were in turn subdivided into districts. On a de facto basis, northern Somalia is now divided up among the quasi-independent states of Puntland, Somaliland, Galmudug and Maakhir.")</f>
        <v>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v>
      </c>
      <c r="H1782" s="56" t="s">
        <v>19</v>
      </c>
      <c r="I1782" s="56" t="s">
        <v>19</v>
      </c>
      <c r="J1782" s="56" t="s">
        <v>19</v>
      </c>
      <c r="K1782" s="55" t="str">
        <f t="shared" si="79"/>
        <v>International</v>
      </c>
    </row>
    <row r="1783" hidden="1">
      <c r="A1783" s="34"/>
      <c r="B1783" s="34" t="str">
        <f>IFERROR(__xludf.DUMMYFUNCTION("""COMPUTED_VALUE"""),"South Africa [GAZ:00001094]                    ")</f>
        <v>South Africa [GAZ:00001094]                    </v>
      </c>
      <c r="C1783" s="34" t="str">
        <f>IFERROR(__xludf.DUMMYFUNCTION("""COMPUTED_VALUE"""),"GAZ:00001094")</f>
        <v>GAZ:00001094</v>
      </c>
      <c r="D1783" s="29" t="str">
        <f>IFERROR(__xludf.DUMMYFUNCTION("""COMPUTED_VALUE"""),"A country located at the southern tip of Africa. It borders the Atlantic and Indian oceans and Namibia, Botswana, Zimbabwe, Mozambique, Swaziland, and Lesotho, an independent enclave surrounded by South African territory. It is divided into nine provinces"&amp;" which are further subdivided into 52 districts: 6 metropolitan and 46 district municipalities. The 46 district municipalities are further subdivided into 231 local municipalities. The district municipalities also contain 20 district management areas (mos"&amp;"tly game parks) that are directly governed by the district municipalities. The six metropolitan municipalities perform the functions of both district and local municipalities.")</f>
        <v>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v>
      </c>
      <c r="H1783" s="56" t="s">
        <v>19</v>
      </c>
      <c r="I1783" s="56" t="s">
        <v>19</v>
      </c>
      <c r="J1783" s="56" t="s">
        <v>19</v>
      </c>
      <c r="K1783" s="55" t="str">
        <f t="shared" si="79"/>
        <v>International</v>
      </c>
    </row>
    <row r="1784" hidden="1">
      <c r="A1784" s="34"/>
      <c r="B1784" s="34" t="str">
        <f>IFERROR(__xludf.DUMMYFUNCTION("""COMPUTED_VALUE"""),"South Georgia and the South Sandwich Islands [GAZ:00003990]                    ")</f>
        <v>South Georgia and the South Sandwich Islands [GAZ:00003990]                    </v>
      </c>
      <c r="C1784" s="34" t="str">
        <f>IFERROR(__xludf.DUMMYFUNCTION("""COMPUTED_VALUE"""),"GAZ:00003990")</f>
        <v>GAZ:00003990</v>
      </c>
      <c r="D1784" s="29" t="str">
        <f>IFERROR(__xludf.DUMMYFUNCTION("""COMPUTED_VALUE"""),"A British overseas territory in the southern Atlantic Ocean. It iconsists of South Georgia and the Sandwich Islands, some 640 km to the SE.")</f>
        <v>A British overseas territory in the southern Atlantic Ocean. It iconsists of South Georgia and the Sandwich Islands, some 640 km to the SE.</v>
      </c>
      <c r="H1784" s="56" t="s">
        <v>19</v>
      </c>
      <c r="I1784" s="56" t="s">
        <v>19</v>
      </c>
      <c r="J1784" s="56" t="s">
        <v>19</v>
      </c>
      <c r="K1784" s="55" t="str">
        <f t="shared" si="79"/>
        <v>International</v>
      </c>
    </row>
    <row r="1785" hidden="1">
      <c r="A1785" s="34"/>
      <c r="B1785" s="34" t="str">
        <f>IFERROR(__xludf.DUMMYFUNCTION("""COMPUTED_VALUE"""),"South Korea [GAZ:00002802]                    ")</f>
        <v>South Korea [GAZ:00002802]                    </v>
      </c>
      <c r="C1785" s="34" t="str">
        <f>IFERROR(__xludf.DUMMYFUNCTION("""COMPUTED_VALUE"""),"GAZ:00002802")</f>
        <v>GAZ:00002802</v>
      </c>
      <c r="D1785" s="29" t="str">
        <f>IFERROR(__xludf.DUMMYFUNCTION("""COMPUTED_VALUE"""),"A republic in East Asia, occupying the southern half of the Korean Peninsula. South Korea is divided into 8 provinces (do), 1 special autonomous province (teukbyeol jachido), 6 metropolitan cities (gwangyeoksi), and 1 special city (teukbyeolsi). These are"&amp;" further subdivided into a variety of smaller entities, including cities (si), counties (gun), districts (gu), towns (eup), townships (myeon), neighborhoods (dong) and villages (ri).")</f>
        <v>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v>
      </c>
      <c r="H1785" s="56" t="s">
        <v>19</v>
      </c>
      <c r="I1785" s="56" t="s">
        <v>19</v>
      </c>
      <c r="J1785" s="56" t="s">
        <v>19</v>
      </c>
      <c r="K1785" s="55" t="str">
        <f t="shared" si="79"/>
        <v>International</v>
      </c>
    </row>
    <row r="1786" hidden="1">
      <c r="A1786" s="34"/>
      <c r="B1786" s="34" t="str">
        <f>IFERROR(__xludf.DUMMYFUNCTION("""COMPUTED_VALUE"""),"South Sudan [GAZ:00233439]                    ")</f>
        <v>South Sudan [GAZ:00233439]                    </v>
      </c>
      <c r="C1786" s="34" t="str">
        <f>IFERROR(__xludf.DUMMYFUNCTION("""COMPUTED_VALUE"""),"GAZ:00233439")</f>
        <v>GAZ:00233439</v>
      </c>
      <c r="D1786" s="29" t="str">
        <f>IFERROR(__xludf.DUMMYFUNCTION("""COMPUTED_VALUE"""),"A state located in Africa with Juba as its capital city. It's bordered by Ethiopia to the east, Kenya, Uganda, and the Democratic Republic of the Congo to the south, and the Central African Republic to the west and Sudan to the North. Southern Sudan inclu"&amp;"des the vast swamp region of the Sudd formed by the White Nile, locally called the Bahr el Jebel.")</f>
        <v>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v>
      </c>
      <c r="H1786" s="56" t="s">
        <v>19</v>
      </c>
      <c r="I1786" s="56" t="s">
        <v>19</v>
      </c>
      <c r="J1786" s="56" t="s">
        <v>19</v>
      </c>
      <c r="K1786" s="55" t="str">
        <f t="shared" si="79"/>
        <v>International</v>
      </c>
    </row>
    <row r="1787" hidden="1">
      <c r="A1787" s="34"/>
      <c r="B1787" s="34" t="str">
        <f>IFERROR(__xludf.DUMMYFUNCTION("""COMPUTED_VALUE"""),"Spain [GAZ:00003936]                    ")</f>
        <v>Spain [GAZ:00003936]                    </v>
      </c>
      <c r="C1787" s="34" t="str">
        <f>IFERROR(__xludf.DUMMYFUNCTION("""COMPUTED_VALUE"""),"GAZ:00003936")</f>
        <v>GAZ:00003936</v>
      </c>
      <c r="D1787" s="29" t="str">
        <f>IFERROR(__xludf.DUMMYFUNCTION("""COMPUTED_VALUE"""),"That part of the Kingdom of Spain that occupies the Iberian Peninsula plus the Balaeric Islands. The Spanish mainland is bordered to the south and east almost entirely by the Mediterranean Sea (except for a small land boundary with Gibraltar); to the nort"&amp;"h by France, Andorra, and the Bay of Biscay; and to the west by the Atlantic Ocean and Portugal.")</f>
        <v>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v>
      </c>
      <c r="H1787" s="56" t="s">
        <v>19</v>
      </c>
      <c r="I1787" s="56" t="s">
        <v>19</v>
      </c>
      <c r="J1787" s="56" t="s">
        <v>19</v>
      </c>
      <c r="K1787" s="55" t="str">
        <f t="shared" si="79"/>
        <v>International</v>
      </c>
    </row>
    <row r="1788" hidden="1">
      <c r="A1788" s="34"/>
      <c r="B1788" s="34" t="str">
        <f>IFERROR(__xludf.DUMMYFUNCTION("""COMPUTED_VALUE"""),"Spratly Islands [GAZ:00010831]                    ")</f>
        <v>Spratly Islands [GAZ:00010831]                    </v>
      </c>
      <c r="C1788" s="34" t="str">
        <f>IFERROR(__xludf.DUMMYFUNCTION("""COMPUTED_VALUE"""),"GAZ:00010831")</f>
        <v>GAZ:00010831</v>
      </c>
      <c r="D1788" s="29" t="str">
        <f>IFERROR(__xludf.DUMMYFUNCTION("""COMPUTED_VALUE"""),"A group of &gt;100 islands located in the Southeastern Asian group of reefs and islands in the South China Sea, about two-thirds of the way from southern Vietnam to the southern Philippines.")</f>
        <v>A group of &gt;100 islands located in the Southeastern Asian group of reefs and islands in the South China Sea, about two-thirds of the way from southern Vietnam to the southern Philippines.</v>
      </c>
      <c r="H1788" s="56" t="s">
        <v>19</v>
      </c>
      <c r="I1788" s="56" t="s">
        <v>19</v>
      </c>
      <c r="J1788" s="56" t="s">
        <v>19</v>
      </c>
      <c r="K1788" s="55" t="str">
        <f t="shared" si="79"/>
        <v>International</v>
      </c>
    </row>
    <row r="1789" hidden="1">
      <c r="A1789" s="34"/>
      <c r="B1789" s="34" t="str">
        <f>IFERROR(__xludf.DUMMYFUNCTION("""COMPUTED_VALUE"""),"Sri Lanka [GAZ:00003924]                    ")</f>
        <v>Sri Lanka [GAZ:00003924]                    </v>
      </c>
      <c r="C1789" s="34" t="str">
        <f>IFERROR(__xludf.DUMMYFUNCTION("""COMPUTED_VALUE"""),"GAZ:00003924")</f>
        <v>GAZ:00003924</v>
      </c>
      <c r="D1789" s="29" t="str">
        <f>IFERROR(__xludf.DUMMYFUNCTION("""COMPUTED_VALUE"""),"An island nation in South Asia, located about 31 km off the southern coast of India. Sri Lanka is divided into 9 provinces and 25 districts. Districts are divided into Divisional Secretariats.")</f>
        <v>An island nation in South Asia, located about 31 km off the southern coast of India. Sri Lanka is divided into 9 provinces and 25 districts. Districts are divided into Divisional Secretariats.</v>
      </c>
      <c r="H1789" s="56" t="s">
        <v>19</v>
      </c>
      <c r="I1789" s="56" t="s">
        <v>19</v>
      </c>
      <c r="J1789" s="56" t="s">
        <v>19</v>
      </c>
      <c r="K1789" s="55" t="str">
        <f t="shared" si="79"/>
        <v>International</v>
      </c>
    </row>
    <row r="1790" hidden="1">
      <c r="A1790" s="34"/>
      <c r="B1790" s="34" t="str">
        <f>IFERROR(__xludf.DUMMYFUNCTION("""COMPUTED_VALUE"""),"State of Palestine [GAZ:00002475]                    ")</f>
        <v>State of Palestine [GAZ:00002475]                    </v>
      </c>
      <c r="C1790" s="34" t="str">
        <f>IFERROR(__xludf.DUMMYFUNCTION("""COMPUTED_VALUE"""),"GAZ:00002475")</f>
        <v>GAZ:00002475</v>
      </c>
      <c r="D1790" s="29" t="str">
        <f>IFERROR(__xludf.DUMMYFUNCTION("""COMPUTED_VALUE"""),"The territory under the administration of the Palestine National Authority, as established by the Oslo Accords. The PNA divides the Palestinian territories into 16 governorates.")</f>
        <v>The territory under the administration of the Palestine National Authority, as established by the Oslo Accords. The PNA divides the Palestinian territories into 16 governorates.</v>
      </c>
      <c r="H1790" s="56" t="s">
        <v>19</v>
      </c>
      <c r="I1790" s="56" t="s">
        <v>19</v>
      </c>
      <c r="J1790" s="56" t="s">
        <v>19</v>
      </c>
      <c r="K1790" s="55" t="str">
        <f t="shared" si="79"/>
        <v>International</v>
      </c>
    </row>
    <row r="1791" hidden="1">
      <c r="A1791" s="34"/>
      <c r="B1791" s="34" t="str">
        <f>IFERROR(__xludf.DUMMYFUNCTION("""COMPUTED_VALUE"""),"Sudan [GAZ:00000560]                    ")</f>
        <v>Sudan [GAZ:00000560]                    </v>
      </c>
      <c r="C1791" s="34" t="str">
        <f>IFERROR(__xludf.DUMMYFUNCTION("""COMPUTED_VALUE"""),"GAZ:00000560")</f>
        <v>GAZ:00000560</v>
      </c>
      <c r="D1791" s="29" t="str">
        <f>IFERROR(__xludf.DUMMYFUNCTION("""COMPUTED_VALUE"""),"A country in North Africa. It is bordered by Egypt to the north, the Red Sea to the northeast, Eritrea and Ethiopia to the east, Kenya and Uganda to the southeast, Democratic Republic of the Congo and the Central African Republic to the southwest, Chad to"&amp;" the west and Libya to the northwest. Sudan is divided into twenty-six states (wilayat, singular wilayah) which in turn are subdivided into 133 districts.")</f>
        <v>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v>
      </c>
      <c r="H1791" s="56" t="s">
        <v>19</v>
      </c>
      <c r="I1791" s="56" t="s">
        <v>19</v>
      </c>
      <c r="J1791" s="56" t="s">
        <v>19</v>
      </c>
      <c r="K1791" s="55" t="str">
        <f t="shared" si="79"/>
        <v>International</v>
      </c>
    </row>
    <row r="1792" hidden="1">
      <c r="A1792" s="34"/>
      <c r="B1792" s="34" t="str">
        <f>IFERROR(__xludf.DUMMYFUNCTION("""COMPUTED_VALUE"""),"Suriname [GAZ:00002525]                    ")</f>
        <v>Suriname [GAZ:00002525]                    </v>
      </c>
      <c r="C1792" s="34" t="str">
        <f>IFERROR(__xludf.DUMMYFUNCTION("""COMPUTED_VALUE"""),"GAZ:00002525")</f>
        <v>GAZ:00002525</v>
      </c>
      <c r="D1792" s="29" t="str">
        <f>IFERROR(__xludf.DUMMYFUNCTION("""COMPUTED_VALUE"""),"A country in northern South America. It is situated between French Guiana to the east and Guyana to the west. The southern border is shared with Brazil and the northern border is the Atlantic coast. The southernmost border with French Guiana is disputed a"&amp;"long the Marowijne river. Suriname is divided into 10 districts, each of which is divided into Ressorten.")</f>
        <v>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v>
      </c>
      <c r="H1792" s="56" t="s">
        <v>19</v>
      </c>
      <c r="I1792" s="56" t="s">
        <v>19</v>
      </c>
      <c r="J1792" s="56" t="s">
        <v>19</v>
      </c>
      <c r="K1792" s="55" t="str">
        <f t="shared" si="79"/>
        <v>International</v>
      </c>
    </row>
    <row r="1793" hidden="1">
      <c r="A1793" s="34"/>
      <c r="B1793" s="34" t="str">
        <f>IFERROR(__xludf.DUMMYFUNCTION("""COMPUTED_VALUE"""),"Svalbard [GAZ:00005396]                    ")</f>
        <v>Svalbard [GAZ:00005396]                    </v>
      </c>
      <c r="C1793" s="34" t="str">
        <f>IFERROR(__xludf.DUMMYFUNCTION("""COMPUTED_VALUE"""),"GAZ:00005396")</f>
        <v>GAZ:00005396</v>
      </c>
      <c r="D1793" s="29" t="str">
        <f>IFERROR(__xludf.DUMMYFUNCTION("""COMPUTED_VALUE"""),"An archipelago of continental islands lying in the Arctic Ocean north of mainland Europe, about midway between Norway and the North Pole.")</f>
        <v>An archipelago of continental islands lying in the Arctic Ocean north of mainland Europe, about midway between Norway and the North Pole.</v>
      </c>
      <c r="H1793" s="56" t="s">
        <v>19</v>
      </c>
      <c r="I1793" s="56" t="s">
        <v>19</v>
      </c>
      <c r="J1793" s="56" t="s">
        <v>19</v>
      </c>
      <c r="K1793" s="55" t="str">
        <f t="shared" si="79"/>
        <v>International</v>
      </c>
    </row>
    <row r="1794" hidden="1">
      <c r="A1794" s="34"/>
      <c r="B1794" s="34" t="str">
        <f>IFERROR(__xludf.DUMMYFUNCTION("""COMPUTED_VALUE"""),"Swaziland [GAZ:00001099]                    ")</f>
        <v>Swaziland [GAZ:00001099]                    </v>
      </c>
      <c r="C1794" s="34" t="str">
        <f>IFERROR(__xludf.DUMMYFUNCTION("""COMPUTED_VALUE"""),"GAZ:00001099")</f>
        <v>GAZ:00001099</v>
      </c>
      <c r="D1794" s="29" t="str">
        <f>IFERROR(__xludf.DUMMYFUNCTION("""COMPUTED_VALUE"""),"A small, landlocked country in Africa embedded between South Africa in the west, north and south and Mozambique in the east. Swaziland is divided into four districts, each of which is divided into Tinkhundla (singular, Inkhundla).")</f>
        <v>A small, landlocked country in Africa embedded between South Africa in the west, north and south and Mozambique in the east. Swaziland is divided into four districts, each of which is divided into Tinkhundla (singular, Inkhundla).</v>
      </c>
      <c r="H1794" s="56" t="s">
        <v>19</v>
      </c>
      <c r="I1794" s="56" t="s">
        <v>19</v>
      </c>
      <c r="J1794" s="56" t="s">
        <v>19</v>
      </c>
      <c r="K1794" s="55" t="str">
        <f t="shared" si="79"/>
        <v>International</v>
      </c>
    </row>
    <row r="1795" hidden="1">
      <c r="A1795" s="34"/>
      <c r="B1795" s="34" t="str">
        <f>IFERROR(__xludf.DUMMYFUNCTION("""COMPUTED_VALUE"""),"Sweden [GAZ:00002729]                    ")</f>
        <v>Sweden [GAZ:00002729]                    </v>
      </c>
      <c r="C1795" s="34" t="str">
        <f>IFERROR(__xludf.DUMMYFUNCTION("""COMPUTED_VALUE"""),"GAZ:00002729")</f>
        <v>GAZ:00002729</v>
      </c>
      <c r="D1795" s="29" t="str">
        <f>IFERROR(__xludf.DUMMYFUNCTION("""COMPUTED_VALUE"""),"A Nordic country on the Scandinavian Peninsula in Northern Europe. It has borders with Norway (west and north) and Finland (northeast). Sweden is a unitary state, currently divided into twenty-one counties (lan). Each county further divides into a number "&amp;"of municipalities or kommuner, with a total of 290 municipalities in 2004.")</f>
        <v>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v>
      </c>
      <c r="H1795" s="56" t="s">
        <v>19</v>
      </c>
      <c r="I1795" s="56" t="s">
        <v>19</v>
      </c>
      <c r="J1795" s="56" t="s">
        <v>19</v>
      </c>
      <c r="K1795" s="55" t="str">
        <f t="shared" si="79"/>
        <v>International</v>
      </c>
    </row>
    <row r="1796" hidden="1">
      <c r="A1796" s="34"/>
      <c r="B1796" s="34" t="str">
        <f>IFERROR(__xludf.DUMMYFUNCTION("""COMPUTED_VALUE"""),"Switzerland [GAZ:00002941]                    ")</f>
        <v>Switzerland [GAZ:00002941]                    </v>
      </c>
      <c r="C1796" s="34" t="str">
        <f>IFERROR(__xludf.DUMMYFUNCTION("""COMPUTED_VALUE"""),"GAZ:00002941")</f>
        <v>GAZ:00002941</v>
      </c>
      <c r="D1796" s="29" t="str">
        <f>IFERROR(__xludf.DUMMYFUNCTION("""COMPUTED_VALUE"""),"A federal republic in Europe. Switzerland is bordered by Germany, France, Italy, Austria and Liechtenstein. The Swiss Confederation consists of 26 cantons. The Cantons comprise a total of 2,889 municipalities. Within Switzerland there are two enclaves: Bu"&amp;"singen belongs to Germany, Campione d'Italia belongs to Italy.")</f>
        <v>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v>
      </c>
      <c r="H1796" s="56" t="s">
        <v>19</v>
      </c>
      <c r="I1796" s="56" t="s">
        <v>19</v>
      </c>
      <c r="J1796" s="56" t="s">
        <v>19</v>
      </c>
      <c r="K1796" s="55" t="str">
        <f t="shared" si="79"/>
        <v>International</v>
      </c>
    </row>
    <row r="1797" hidden="1">
      <c r="A1797" s="34"/>
      <c r="B1797" s="34" t="str">
        <f>IFERROR(__xludf.DUMMYFUNCTION("""COMPUTED_VALUE"""),"Syria [GAZ:00002474]                    ")</f>
        <v>Syria [GAZ:00002474]                    </v>
      </c>
      <c r="C1797" s="34" t="str">
        <f>IFERROR(__xludf.DUMMYFUNCTION("""COMPUTED_VALUE"""),"GAZ:00002474")</f>
        <v>GAZ:00002474</v>
      </c>
      <c r="D1797" s="29" t="str">
        <f>IFERROR(__xludf.DUMMYFUNCTION("""COMPUTED_VALUE"""),"A country in Southwest Asia, bordering Lebanon, the Mediterranean Sea and the island of Cyprus to the west, Israel to the southwest, Jordan to the south, Iraq to the east, and Turkey to the north. Syria has fourteen governorates, or muhafazat (singular: m"&amp;"uhafazah). The governorates are divided into sixty districts, or manatiq (singular: mintaqah), which are further divided into sub-districts, or nawahi (singular: nahia).")</f>
        <v>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v>
      </c>
      <c r="H1797" s="56" t="s">
        <v>19</v>
      </c>
      <c r="I1797" s="56" t="s">
        <v>19</v>
      </c>
      <c r="J1797" s="56" t="s">
        <v>19</v>
      </c>
      <c r="K1797" s="55" t="str">
        <f t="shared" si="79"/>
        <v>International</v>
      </c>
    </row>
    <row r="1798" hidden="1">
      <c r="A1798" s="34"/>
      <c r="B1798" s="34" t="str">
        <f>IFERROR(__xludf.DUMMYFUNCTION("""COMPUTED_VALUE"""),"Taiwan [GAZ:00005341]                    ")</f>
        <v>Taiwan [GAZ:00005341]                    </v>
      </c>
      <c r="C1798" s="34" t="str">
        <f>IFERROR(__xludf.DUMMYFUNCTION("""COMPUTED_VALUE"""),"GAZ:00005341")</f>
        <v>GAZ:00005341</v>
      </c>
      <c r="D1798" s="29" t="str">
        <f>IFERROR(__xludf.DUMMYFUNCTION("""COMPUTED_VALUE"""),"A state in East Asia with de facto rule of the island of Tawain and adjacent territory. The Republic of China currently administers two historical provinces of China (one completely and a small part of another one) and centrally administers two direct-con"&amp;"trolled municipalities.")</f>
        <v>A state in East Asia with de facto rule of the island of Tawain and adjacent territory. The Republic of China currently administers two historical provinces of China (one completely and a small part of another one) and centrally administers two direct-controlled municipalities.</v>
      </c>
      <c r="H1798" s="56" t="s">
        <v>19</v>
      </c>
      <c r="I1798" s="56" t="s">
        <v>19</v>
      </c>
      <c r="J1798" s="56" t="s">
        <v>19</v>
      </c>
      <c r="K1798" s="55" t="str">
        <f t="shared" si="79"/>
        <v>International</v>
      </c>
    </row>
    <row r="1799" hidden="1">
      <c r="A1799" s="34"/>
      <c r="B1799" s="34" t="str">
        <f>IFERROR(__xludf.DUMMYFUNCTION("""COMPUTED_VALUE"""),"Tajikistan [GAZ:00006912]                    ")</f>
        <v>Tajikistan [GAZ:00006912]                    </v>
      </c>
      <c r="C1799" s="34" t="str">
        <f>IFERROR(__xludf.DUMMYFUNCTION("""COMPUTED_VALUE"""),"GAZ:00006912")</f>
        <v>GAZ:00006912</v>
      </c>
      <c r="D1799" s="29" t="str">
        <f>IFERROR(__xludf.DUMMYFUNCTION("""COMPUTED_VALUE"""),"A mountainous landlocked country in Central Asia. Afghanistan borders to the south, Uzbekistan to the west, Kyrgyzstan to the north, and People's Republic of China to the east. Tajikistan consists of 4 administrative divisions. These are the provinces (vi"&amp;"loyat) of Sughd and Khatlon, the autonomous province of Gorno-Badakhshan (abbreviated as GBAO), and the Region of Republican Subordination (RRP, Raiony Respublikanskogo Podchineniya in Russian; formerly known as Karotegin Province). Each region is divided"&amp;" into several districts (nohiya or raion).")</f>
        <v>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v>
      </c>
      <c r="H1799" s="56" t="s">
        <v>19</v>
      </c>
      <c r="I1799" s="56" t="s">
        <v>19</v>
      </c>
      <c r="J1799" s="56" t="s">
        <v>19</v>
      </c>
      <c r="K1799" s="55" t="str">
        <f t="shared" si="79"/>
        <v>International</v>
      </c>
    </row>
    <row r="1800" hidden="1">
      <c r="A1800" s="34"/>
      <c r="B1800" s="34" t="str">
        <f>IFERROR(__xludf.DUMMYFUNCTION("""COMPUTED_VALUE"""),"Tanzania [GAZ:00001103]                    ")</f>
        <v>Tanzania [GAZ:00001103]                    </v>
      </c>
      <c r="C1800" s="34" t="str">
        <f>IFERROR(__xludf.DUMMYFUNCTION("""COMPUTED_VALUE"""),"GAZ:00001103")</f>
        <v>GAZ:00001103</v>
      </c>
      <c r="D1800" s="29" t="str">
        <f>IFERROR(__xludf.DUMMYFUNCTION("""COMPUTED_VALUE"""),"A country in East Africa bordered by Kenya and Uganda on the north, Rwanda, Burundi and the Democratic Republic of the Congo on the west, and Zambia, Malawi and Mozambique on the south. To the east it borders the Indian Ocean. Tanzania is divided into 26 "&amp;"regions (mkoa), twenty-one on the mainland and five on Zanzibar (three on Unguja, two on Pemba). Ninety-eight districts (wilaya), each with at least one council, have been created to further increase local authority; the councils are also known as local g"&amp;"overnment authorities. Currently there are 114 councils operating in 99 districts; 22 are urban and 92 are rural. The 22 urban units are further classified as city councils (Dar es Salaam and Mwanza), municipal councils (Arusha, Dodoma, Iringa, Kilimanjar"&amp;"o, Mbeya, Morogoro, Shinyanga, Tabora, and Tanga) or town councils (the remaining eleven communities).")</f>
        <v>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v>
      </c>
      <c r="H1800" s="56" t="s">
        <v>19</v>
      </c>
      <c r="I1800" s="56" t="s">
        <v>19</v>
      </c>
      <c r="J1800" s="56" t="s">
        <v>19</v>
      </c>
      <c r="K1800" s="55" t="str">
        <f t="shared" si="79"/>
        <v>International</v>
      </c>
    </row>
    <row r="1801" hidden="1">
      <c r="A1801" s="34"/>
      <c r="B1801" s="34" t="str">
        <f>IFERROR(__xludf.DUMMYFUNCTION("""COMPUTED_VALUE"""),"Thailand [GAZ:00003744]                    ")</f>
        <v>Thailand [GAZ:00003744]                    </v>
      </c>
      <c r="C1801" s="34" t="str">
        <f>IFERROR(__xludf.DUMMYFUNCTION("""COMPUTED_VALUE"""),"GAZ:00003744")</f>
        <v>GAZ:00003744</v>
      </c>
      <c r="D1801" s="29" t="str">
        <f>IFERROR(__xludf.DUMMYFUNCTION("""COMPUTED_VALUE"""),"A country in Southeast Asia. To its east lie Laos and Cambodia; to its south, the Gulf of Thailand and Malaysia; and to its west, the Andaman Sea and Burma. Its capital and largest city is Bangkok. Thailand is divided into 75 provinces (changwat), which a"&amp;"re gathered into 5 groups of provinces by location. There are also 2 special governed districts: the capital Bangkok (Krung Thep Maha Nakhon) and Pattaya, of which Bangkok is at provincial level and thus often counted as a 76th province.")</f>
        <v>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v>
      </c>
      <c r="H1801" s="56" t="s">
        <v>19</v>
      </c>
      <c r="I1801" s="56" t="s">
        <v>19</v>
      </c>
      <c r="J1801" s="56" t="s">
        <v>19</v>
      </c>
      <c r="K1801" s="55" t="str">
        <f t="shared" si="79"/>
        <v>International</v>
      </c>
    </row>
    <row r="1802" hidden="1">
      <c r="A1802" s="34"/>
      <c r="B1802" s="34" t="str">
        <f>IFERROR(__xludf.DUMMYFUNCTION("""COMPUTED_VALUE"""),"Timor-Leste [GAZ:00006913]                    ")</f>
        <v>Timor-Leste [GAZ:00006913]                    </v>
      </c>
      <c r="C1802" s="34" t="str">
        <f>IFERROR(__xludf.DUMMYFUNCTION("""COMPUTED_VALUE"""),"GAZ:00006913")</f>
        <v>GAZ:00006913</v>
      </c>
      <c r="D1802" s="29" t="str">
        <f>IFERROR(__xludf.DUMMYFUNCTION("""COMPUTED_VALUE"""),"A country in Southeast Asia. It comprises the eastern half of the island of Timor, the nearby islands of Atauro and Jaco, and Oecussi-Ambeno, an exclave on the northwestern side of the island, within Indonesian West Timor. The small country of 15,410 km2 "&amp;"is located about 640 km northwest of Darwin, Australia. East Timor is divided into thirteen administrative districts, are subdivided into 65 subdistricts, 443 sucos and 2,336 towns, villages and hamlets.")</f>
        <v>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v>
      </c>
      <c r="H1802" s="56" t="s">
        <v>19</v>
      </c>
      <c r="I1802" s="56" t="s">
        <v>19</v>
      </c>
      <c r="J1802" s="56" t="s">
        <v>19</v>
      </c>
      <c r="K1802" s="55" t="str">
        <f t="shared" si="79"/>
        <v>International</v>
      </c>
    </row>
    <row r="1803" hidden="1">
      <c r="A1803" s="34"/>
      <c r="B1803" s="34" t="str">
        <f>IFERROR(__xludf.DUMMYFUNCTION("""COMPUTED_VALUE"""),"Togo [GAZ:00000915]                    ")</f>
        <v>Togo [GAZ:00000915]                    </v>
      </c>
      <c r="C1803" s="34" t="str">
        <f>IFERROR(__xludf.DUMMYFUNCTION("""COMPUTED_VALUE"""),"GAZ:00000915")</f>
        <v>GAZ:00000915</v>
      </c>
      <c r="D1803" s="29" t="str">
        <f>IFERROR(__xludf.DUMMYFUNCTION("""COMPUTED_VALUE"""),"A country in West Africa bordering Ghana in the west, Benin in the east and Burkina Faso in the north. In the south, it has a short Gulf of Guinea coast, on which the capital Lome is located.")</f>
        <v>A country in West Africa bordering Ghana in the west, Benin in the east and Burkina Faso in the north. In the south, it has a short Gulf of Guinea coast, on which the capital Lome is located.</v>
      </c>
      <c r="H1803" s="56" t="s">
        <v>19</v>
      </c>
      <c r="I1803" s="56" t="s">
        <v>19</v>
      </c>
      <c r="J1803" s="56" t="s">
        <v>19</v>
      </c>
      <c r="K1803" s="55" t="str">
        <f t="shared" si="79"/>
        <v>International</v>
      </c>
    </row>
    <row r="1804" hidden="1">
      <c r="A1804" s="34"/>
      <c r="B1804" s="34" t="str">
        <f>IFERROR(__xludf.DUMMYFUNCTION("""COMPUTED_VALUE"""),"Tokelau [GAZ:00260188]                    ")</f>
        <v>Tokelau [GAZ:00260188]                    </v>
      </c>
      <c r="C1804" s="34" t="str">
        <f>IFERROR(__xludf.DUMMYFUNCTION("""COMPUTED_VALUE"""),"GAZ:00260188")</f>
        <v>GAZ:00260188</v>
      </c>
      <c r="D1804" s="29" t="str">
        <f>IFERROR(__xludf.DUMMYFUNCTION("""COMPUTED_VALUE"""),"A dependent territory of New Zealand in the southern Pacific Ocean. It consists of three tropical coral atolls: Atafu, Nukunonu, and Fakaofo. They have a combined land area of 10 km2 (4 sq mi).")</f>
        <v>A dependent territory of New Zealand in the southern Pacific Ocean. It consists of three tropical coral atolls: Atafu, Nukunonu, and Fakaofo. They have a combined land area of 10 km2 (4 sq mi).</v>
      </c>
      <c r="H1804" s="56" t="s">
        <v>19</v>
      </c>
      <c r="I1804" s="56" t="s">
        <v>19</v>
      </c>
      <c r="J1804" s="56" t="s">
        <v>19</v>
      </c>
      <c r="K1804" s="55" t="str">
        <f t="shared" si="79"/>
        <v>International</v>
      </c>
    </row>
    <row r="1805" hidden="1">
      <c r="A1805" s="34"/>
      <c r="B1805" s="34" t="str">
        <f>IFERROR(__xludf.DUMMYFUNCTION("""COMPUTED_VALUE"""),"Tonga [GAZ:00006916]                    ")</f>
        <v>Tonga [GAZ:00006916]                    </v>
      </c>
      <c r="C1805" s="34" t="str">
        <f>IFERROR(__xludf.DUMMYFUNCTION("""COMPUTED_VALUE"""),"GAZ:00006916")</f>
        <v>GAZ:00006916</v>
      </c>
      <c r="D1805" s="29" t="str">
        <f>IFERROR(__xludf.DUMMYFUNCTION("""COMPUTED_VALUE"""),"A Polynesian country, and also an archipelago comprising 169 islands, of which 36 are inhabited. The archipelago's total surface area is about 750 square kilometres (290 sq mi) scattered over 700,000 square kilometres (270,000 sq mi) of the southern Pacif"&amp;"ic Ocean.")</f>
        <v>A Polynesian country, and also an archipelago comprising 169 islands, of which 36 are inhabited. The archipelago's total surface area is about 750 square kilometres (290 sq mi) scattered over 700,000 square kilometres (270,000 sq mi) of the southern Pacific Ocean.</v>
      </c>
      <c r="H1805" s="56" t="s">
        <v>19</v>
      </c>
      <c r="I1805" s="56" t="s">
        <v>19</v>
      </c>
      <c r="J1805" s="56" t="s">
        <v>19</v>
      </c>
      <c r="K1805" s="55" t="str">
        <f t="shared" si="79"/>
        <v>International</v>
      </c>
    </row>
    <row r="1806" hidden="1">
      <c r="A1806" s="34"/>
      <c r="B1806" s="34" t="str">
        <f>IFERROR(__xludf.DUMMYFUNCTION("""COMPUTED_VALUE"""),"Trinidad and Tobago [GAZ:00003767]                    ")</f>
        <v>Trinidad and Tobago [GAZ:00003767]                    </v>
      </c>
      <c r="C1806" s="34" t="str">
        <f>IFERROR(__xludf.DUMMYFUNCTION("""COMPUTED_VALUE"""),"GAZ:00003767")</f>
        <v>GAZ:00003767</v>
      </c>
      <c r="D1806" s="29" t="str">
        <f>IFERROR(__xludf.DUMMYFUNCTION("""COMPUTED_VALUE"""),"An archipelagic state in the southern Caribbean, lying northeast of the South American nation of Venezuela and south of Grenada in the Lesser Antilles. It also shares maritime boundaries with Barbados to the northeast and Guyana to the southeast. The coun"&amp;"try covers an area of 5,128 km2and consists of two main islands, Trinidad and Tobago, and 21 smaller islands.")</f>
        <v>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v>
      </c>
      <c r="H1806" s="56" t="s">
        <v>19</v>
      </c>
      <c r="I1806" s="56" t="s">
        <v>19</v>
      </c>
      <c r="J1806" s="56" t="s">
        <v>19</v>
      </c>
      <c r="K1806" s="55" t="str">
        <f t="shared" si="79"/>
        <v>International</v>
      </c>
    </row>
    <row r="1807" hidden="1">
      <c r="A1807" s="34"/>
      <c r="B1807" s="34" t="str">
        <f>IFERROR(__xludf.DUMMYFUNCTION("""COMPUTED_VALUE"""),"Tromelin Island [GAZ:00005812]                    ")</f>
        <v>Tromelin Island [GAZ:00005812]                    </v>
      </c>
      <c r="C1807" s="34" t="str">
        <f>IFERROR(__xludf.DUMMYFUNCTION("""COMPUTED_VALUE"""),"GAZ:00005812")</f>
        <v>GAZ:00005812</v>
      </c>
      <c r="D1807" s="29" t="str">
        <f>IFERROR(__xludf.DUMMYFUNCTION("""COMPUTED_VALUE"""),"A low, flat 0.8 km2 island in the Indian Ocean, about 350 km east of Madagascar. Tromelin is a low, scrub-covered sandbank about 1,700 m long and 700 m wide, surrounded by coral reefs. The island is 7 m high at its highest point.")</f>
        <v>A low, flat 0.8 km2 island in the Indian Ocean, about 350 km east of Madagascar. Tromelin is a low, scrub-covered sandbank about 1,700 m long and 700 m wide, surrounded by coral reefs. The island is 7 m high at its highest point.</v>
      </c>
      <c r="H1807" s="56" t="s">
        <v>19</v>
      </c>
      <c r="I1807" s="56" t="s">
        <v>19</v>
      </c>
      <c r="J1807" s="56" t="s">
        <v>19</v>
      </c>
      <c r="K1807" s="55" t="str">
        <f t="shared" si="79"/>
        <v>International</v>
      </c>
    </row>
    <row r="1808" hidden="1">
      <c r="A1808" s="34"/>
      <c r="B1808" s="34" t="str">
        <f>IFERROR(__xludf.DUMMYFUNCTION("""COMPUTED_VALUE"""),"Tunisia [GAZ:00000562]                    ")</f>
        <v>Tunisia [GAZ:00000562]                    </v>
      </c>
      <c r="C1808" s="34" t="str">
        <f>IFERROR(__xludf.DUMMYFUNCTION("""COMPUTED_VALUE"""),"GAZ:00000562")</f>
        <v>GAZ:00000562</v>
      </c>
      <c r="D1808" s="29" t="str">
        <f>IFERROR(__xludf.DUMMYFUNCTION("""COMPUTED_VALUE"""),"A country situated on the Mediterranean coast of North Africa. It is bordered by Algeria to the west and Libya to the southeast. Tunisia is subdivided into 24 governorates, divided into 262 ""delegations"" or ""districts"" (mutamadiyat), and further subdi"&amp;"vided into municipalities (shaykhats).")</f>
        <v>A country situated on the Mediterranean coast of North Africa. It is bordered by Algeria to the west and Libya to the southeast. Tunisia is subdivided into 24 governorates, divided into 262 "delegations" or "districts" (mutamadiyat), and further subdivided into municipalities (shaykhats).</v>
      </c>
      <c r="H1808" s="56" t="s">
        <v>19</v>
      </c>
      <c r="I1808" s="56" t="s">
        <v>19</v>
      </c>
      <c r="J1808" s="56" t="s">
        <v>19</v>
      </c>
      <c r="K1808" s="55" t="str">
        <f t="shared" si="79"/>
        <v>International</v>
      </c>
    </row>
    <row r="1809" hidden="1">
      <c r="A1809" s="34"/>
      <c r="B1809" s="34" t="str">
        <f>IFERROR(__xludf.DUMMYFUNCTION("""COMPUTED_VALUE"""),"Turkey [GAZ:00000558]                    ")</f>
        <v>Turkey [GAZ:00000558]                    </v>
      </c>
      <c r="C1809" s="34" t="str">
        <f>IFERROR(__xludf.DUMMYFUNCTION("""COMPUTED_VALUE"""),"GAZ:00000558")</f>
        <v>GAZ:00000558</v>
      </c>
      <c r="D1809" s="29" t="str">
        <f>IFERROR(__xludf.DUMMYFUNCTION("""COMPUTED_VALUE"""),"A Eurasian country that stretches across the Anatolian peninsula in western Asia and Thrace (Rumelia) in the Balkan region of southeastern Europe. Turkey borders eight countries: Bulgaria to the northwest; Greece to the west, Georgia to the northeast; Arm"&amp;"enia, Azerbaijan (the exclave of Nakhichevan), and Iran to the east; and Iraq and Syria to the southeast. The Mediterranean Sea and Cyprus are to the south; the Aegean Sea and Archipelago are to the west; and the Black Sea is to the north. Separating Anat"&amp;"olia and Thrace are the Sea of Marmara and the Turkish Straits (the Bosporus and the Dardanelles), which are commonly reckoned to delineate the border between Asia and Europe, thereby making Turkey transcontinental. The territory of Turkey is subdivided i"&amp;"nto 81 provinces for administrative purposes. The provinces are organized into 7 regions for census purposes; however, they do not represent an administrative structure. Each province is divided into districts, for a total of 923 districts.")</f>
        <v>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v>
      </c>
      <c r="H1809" s="56" t="s">
        <v>19</v>
      </c>
      <c r="I1809" s="56" t="s">
        <v>19</v>
      </c>
      <c r="J1809" s="56" t="s">
        <v>19</v>
      </c>
      <c r="K1809" s="55" t="str">
        <f t="shared" si="79"/>
        <v>International</v>
      </c>
    </row>
    <row r="1810" hidden="1">
      <c r="A1810" s="34"/>
      <c r="B1810" s="34" t="str">
        <f>IFERROR(__xludf.DUMMYFUNCTION("""COMPUTED_VALUE"""),"Turkmenistan [GAZ:00005018]                    ")</f>
        <v>Turkmenistan [GAZ:00005018]                    </v>
      </c>
      <c r="C1810" s="34" t="str">
        <f>IFERROR(__xludf.DUMMYFUNCTION("""COMPUTED_VALUE"""),"GAZ:00005018")</f>
        <v>GAZ:00005018</v>
      </c>
      <c r="D1810" s="29" t="str">
        <f>IFERROR(__xludf.DUMMYFUNCTION("""COMPUTED_VALUE"""),"A country in Central Asia. It is bordered by Afghanistan to the southeast, Iran to the southwest, Uzbekistan to the northeast, Kazakhstan to the northwest, and the Caspian Sea to the west. It was a constituent republic of the Soviet Union, the Turkmen Sov"&amp;"iet Socialist Republic. Turkmenistan is divided into five provinces or welayatlar (singular - welayat) and one independent city.")</f>
        <v>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v>
      </c>
      <c r="H1810" s="56" t="s">
        <v>19</v>
      </c>
      <c r="I1810" s="56" t="s">
        <v>19</v>
      </c>
      <c r="J1810" s="56" t="s">
        <v>19</v>
      </c>
      <c r="K1810" s="55" t="str">
        <f t="shared" si="79"/>
        <v>International</v>
      </c>
    </row>
    <row r="1811" hidden="1">
      <c r="A1811" s="34"/>
      <c r="B1811" s="34" t="str">
        <f>IFERROR(__xludf.DUMMYFUNCTION("""COMPUTED_VALUE"""),"Turks and Caicos Islands [GAZ:00003955]                    ")</f>
        <v>Turks and Caicos Islands [GAZ:00003955]                    </v>
      </c>
      <c r="C1811" s="34" t="str">
        <f>IFERROR(__xludf.DUMMYFUNCTION("""COMPUTED_VALUE"""),"GAZ:00003955")</f>
        <v>GAZ:00003955</v>
      </c>
      <c r="D1811" s="29" t="str">
        <f>IFERROR(__xludf.DUMMYFUNCTION("""COMPUTED_VALUE"""),"A British Overseas Territory consisting of two groups of tropical islands in the West Indies. The Turks and Caicos Islands are divided into six administrative districts (two in the Turks Islands and four in the Caicos Islands.")</f>
        <v>A British Overseas Territory consisting of two groups of tropical islands in the West Indies. The Turks and Caicos Islands are divided into six administrative districts (two in the Turks Islands and four in the Caicos Islands.</v>
      </c>
      <c r="H1811" s="56" t="s">
        <v>19</v>
      </c>
      <c r="I1811" s="56" t="s">
        <v>19</v>
      </c>
      <c r="J1811" s="56" t="s">
        <v>19</v>
      </c>
      <c r="K1811" s="55" t="str">
        <f t="shared" si="79"/>
        <v>International</v>
      </c>
    </row>
    <row r="1812" hidden="1">
      <c r="A1812" s="34"/>
      <c r="B1812" s="34" t="str">
        <f>IFERROR(__xludf.DUMMYFUNCTION("""COMPUTED_VALUE"""),"Tuvalu [GAZ:00009715]                    ")</f>
        <v>Tuvalu [GAZ:00009715]                    </v>
      </c>
      <c r="C1812" s="34" t="str">
        <f>IFERROR(__xludf.DUMMYFUNCTION("""COMPUTED_VALUE"""),"GAZ:00009715")</f>
        <v>GAZ:00009715</v>
      </c>
      <c r="D1812" s="29" t="str">
        <f>IFERROR(__xludf.DUMMYFUNCTION("""COMPUTED_VALUE"""),"A Polynesian island nation located in the Pacific Ocean midway between Hawaii and Australia.")</f>
        <v>A Polynesian island nation located in the Pacific Ocean midway between Hawaii and Australia.</v>
      </c>
      <c r="H1812" s="56" t="s">
        <v>19</v>
      </c>
      <c r="I1812" s="56" t="s">
        <v>19</v>
      </c>
      <c r="J1812" s="56" t="s">
        <v>19</v>
      </c>
      <c r="K1812" s="55" t="str">
        <f t="shared" si="79"/>
        <v>International</v>
      </c>
    </row>
    <row r="1813" hidden="1">
      <c r="A1813" s="34"/>
      <c r="B1813" s="34" t="str">
        <f>IFERROR(__xludf.DUMMYFUNCTION("""COMPUTED_VALUE"""),"United States of America [GAZ:00002459]                    ")</f>
        <v>United States of America [GAZ:00002459]                    </v>
      </c>
      <c r="C1813" s="34" t="str">
        <f>IFERROR(__xludf.DUMMYFUNCTION("""COMPUTED_VALUE"""),"GAZ:00002459")</f>
        <v>GAZ:00002459</v>
      </c>
      <c r="D1813" s="29" t="str">
        <f>IFERROR(__xludf.DUMMYFUNCTION("""COMPUTED_VALUE"""),"A federal constitutional republic comprising fifty states and a federal district. The country is situated mostly in central North America, where its forty-eight contiguous states and Washington, DC, the capital district, lie between the Pacific and Atlant"&amp;"ic Oceans, bordered by Canada to the north and Mexico to the south. The State of Alaska is in the northwest of the continent, with Canada to its east and Russia to the west across the Bering Strait, and the State of Hawaii is in the mid-Pacific. The Unite"&amp;"d States also possesses several territories, or insular areas, that are scattered around the Caribbean and Pacific. The states are divided into smaller administrative regions, called counties in most states, exceptions being Alaska (parts of the state are"&amp;" organized into subdivisions called boroughs; the rest of the state's territory that is not included in any borough is divided into ""census areas""), and Louisiana (which is divided into county-equivalents that are called parishes). There are also indepe"&amp;"ndent cities which are within particular states but not part of any particular county or consolidated city-counties. Another type of organization is where the city and county are unified and function as an independent city. There are thirty-nine independe"&amp;"nt cities in Virginia and other independent cities or city-counties are San Francisco, California, Baltimore, Maryland, St. Louis, Missouri, Denver, Colorado and Carson City, Nevada. Counties can include a number of cities, towns, villages, or hamlets, or"&amp;" sometimes just a part of a city. Counties have varying degrees of political and legal significance, but they are always administrative divisions of the state. Counties in many states are further subdivided into townships, which, by definition, are admini"&amp;"strative divisions of a county. In some states, such as Michigan, a township can file a charter with the state government, making itself into a ""charter township"", which is a type of mixed municipal and township status (giving the township some of the r"&amp;"ights of a city without all of the responsibilities), much in the way a metropolitan municipality is a mixed municipality and county.")</f>
        <v>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v>
      </c>
      <c r="H1813" s="56" t="s">
        <v>19</v>
      </c>
      <c r="I1813" s="56" t="s">
        <v>19</v>
      </c>
      <c r="J1813" s="56" t="s">
        <v>19</v>
      </c>
      <c r="K1813" s="55" t="str">
        <f t="shared" si="79"/>
        <v>International</v>
      </c>
    </row>
    <row r="1814" hidden="1">
      <c r="A1814" s="34"/>
      <c r="B1814" s="34" t="str">
        <f>IFERROR(__xludf.DUMMYFUNCTION("""COMPUTED_VALUE"""),"Uganda [GAZ:00001102]                    ")</f>
        <v>Uganda [GAZ:00001102]                    </v>
      </c>
      <c r="C1814" s="34" t="str">
        <f>IFERROR(__xludf.DUMMYFUNCTION("""COMPUTED_VALUE"""),"GAZ:00001102")</f>
        <v>GAZ:00001102</v>
      </c>
      <c r="D1814" s="29" t="str">
        <f>IFERROR(__xludf.DUMMYFUNCTION("""COMPUTED_VALUE"""),"A landlocked country in East Africa, bordered on the east by Kenya, the north by Sudan, on the west by the Democratic Republic of the Congo, on the southwest by Rwanda, and on the south by Tanzania. The southern part of the country includes a substantial "&amp;"portion of Lake Victoria, within which it shares borders with Kenya and Tanzania. Uganda is divided into 80 districts, spread across four administrative regions: Northern, Eastern, Central and Western. The districts are subdivided into counties.")</f>
        <v>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v>
      </c>
      <c r="H1814" s="56" t="s">
        <v>19</v>
      </c>
      <c r="I1814" s="56" t="s">
        <v>19</v>
      </c>
      <c r="J1814" s="56" t="s">
        <v>19</v>
      </c>
      <c r="K1814" s="55" t="str">
        <f t="shared" si="79"/>
        <v>International</v>
      </c>
    </row>
    <row r="1815" hidden="1">
      <c r="A1815" s="34"/>
      <c r="B1815" s="34" t="str">
        <f>IFERROR(__xludf.DUMMYFUNCTION("""COMPUTED_VALUE"""),"Ukraine [GAZ:00002724]                    ")</f>
        <v>Ukraine [GAZ:00002724]                    </v>
      </c>
      <c r="C1815" s="34" t="str">
        <f>IFERROR(__xludf.DUMMYFUNCTION("""COMPUTED_VALUE"""),"GAZ:00002724")</f>
        <v>GAZ:00002724</v>
      </c>
      <c r="D1815" s="29" t="str">
        <f>IFERROR(__xludf.DUMMYFUNCTION("""COMPUTED_VALUE"""),"A country in Eastern Europe. It borders Russia to the east, Belarus to the north, Poland, Slovakia and Hungary to the west, Romania and Moldova to the southwest, and the Black Sea and Sea of Azov to the south. Ukraine is subdivided into twenty-four oblast"&amp;"s (provinces) and one autonomous republic (avtonomna respublika), Crimea. Additionally, the cities of Kiev, the capital, and Sevastopol, both have a special legal status. The 24 oblasts and Crimea are subdivided into 490 raions (districts), or second-leve"&amp;"l administrative units.")</f>
        <v>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v>
      </c>
      <c r="H1815" s="56" t="s">
        <v>19</v>
      </c>
      <c r="I1815" s="56" t="s">
        <v>19</v>
      </c>
      <c r="J1815" s="56" t="s">
        <v>19</v>
      </c>
      <c r="K1815" s="55" t="str">
        <f t="shared" si="79"/>
        <v>International</v>
      </c>
    </row>
    <row r="1816" hidden="1">
      <c r="A1816" s="34"/>
      <c r="B1816" s="34" t="str">
        <f>IFERROR(__xludf.DUMMYFUNCTION("""COMPUTED_VALUE"""),"United Arab Emirates [GAZ:00005282]                    ")</f>
        <v>United Arab Emirates [GAZ:00005282]                    </v>
      </c>
      <c r="C1816" s="34" t="str">
        <f>IFERROR(__xludf.DUMMYFUNCTION("""COMPUTED_VALUE"""),"GAZ:00005282")</f>
        <v>GAZ:00005282</v>
      </c>
      <c r="D1816" s="29" t="str">
        <f>IFERROR(__xludf.DUMMYFUNCTION("""COMPUTED_VALUE"""),"A Middle Eastern federation of seven states situated in the southeast of the Arabian Peninsula in Southwest Asia on the Persian Gulf, bordering Oman and Saudi Arabia. The seven states, termed emirates, are Abu Dhabi, Ajman, Dubai, Fujairah, Ras al-Khaimah"&amp;", Sharjah, and Umm al-Quwain.")</f>
        <v>A Middle Eastern federation of seven states situated in the southeast of the Arabian Peninsula in Southwest Asia on the Persian Gulf, bordering Oman and Saudi Arabia. The seven states, termed emirates, are Abu Dhabi, Ajman, Dubai, Fujairah, Ras al-Khaimah, Sharjah, and Umm al-Quwain.</v>
      </c>
      <c r="H1816" s="56" t="s">
        <v>19</v>
      </c>
      <c r="I1816" s="56" t="s">
        <v>19</v>
      </c>
      <c r="J1816" s="56" t="s">
        <v>19</v>
      </c>
      <c r="K1816" s="55" t="str">
        <f t="shared" si="79"/>
        <v>International</v>
      </c>
    </row>
    <row r="1817" hidden="1">
      <c r="A1817" s="34"/>
      <c r="B1817" s="34" t="str">
        <f>IFERROR(__xludf.DUMMYFUNCTION("""COMPUTED_VALUE"""),"United Kingdom [GAZ:00002637]                    ")</f>
        <v>United Kingdom [GAZ:00002637]                    </v>
      </c>
      <c r="C1817" s="34" t="str">
        <f>IFERROR(__xludf.DUMMYFUNCTION("""COMPUTED_VALUE"""),"GAZ:00002637")</f>
        <v>GAZ:00002637</v>
      </c>
      <c r="D1817" s="29" t="str">
        <f>IFERROR(__xludf.DUMMYFUNCTION("""COMPUTED_VALUE"""),"A sovereign island country located off the northwestern coast of mainland Europe comprising of the four constituent countries; England, Scotland, Wales and Northern Ireland. It comprises the island of Great Britain, the northeast part of the island of Ire"&amp;"land and many small islands. Apart from Northern Ireland the UK is surrounded by the Atlantic Ocean, the North Sea, the English Channel and the Irish Sea. The largest island, Great Britain, is linked to France by the Channel Tunnel.")</f>
        <v>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v>
      </c>
      <c r="H1817" s="56" t="s">
        <v>19</v>
      </c>
      <c r="I1817" s="56" t="s">
        <v>19</v>
      </c>
      <c r="J1817" s="56" t="s">
        <v>19</v>
      </c>
      <c r="K1817" s="55" t="str">
        <f t="shared" si="79"/>
        <v>International</v>
      </c>
    </row>
    <row r="1818" hidden="1">
      <c r="A1818" s="34"/>
      <c r="B1818" s="34" t="str">
        <f>IFERROR(__xludf.DUMMYFUNCTION("""COMPUTED_VALUE"""),"Uruguay [GAZ:00002930]                    ")</f>
        <v>Uruguay [GAZ:00002930]                    </v>
      </c>
      <c r="C1818" s="34" t="str">
        <f>IFERROR(__xludf.DUMMYFUNCTION("""COMPUTED_VALUE"""),"GAZ:00002930")</f>
        <v>GAZ:00002930</v>
      </c>
      <c r="D1818" s="29" t="str">
        <f>IFERROR(__xludf.DUMMYFUNCTION("""COMPUTED_VALUE"""),"A country located in the southeastern part of South America. It is bordered by Brazil to the north, by Argentina across the bank of both the Uruguay River to the west and the estuary of Rio de la Plata to the southwest, and the South Atlantic Ocean to the"&amp;" southeast. Uraguay consists of 19 departments (departamentos, singular - departamento).")</f>
        <v>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v>
      </c>
      <c r="H1818" s="56" t="s">
        <v>19</v>
      </c>
      <c r="I1818" s="56" t="s">
        <v>19</v>
      </c>
      <c r="J1818" s="56" t="s">
        <v>19</v>
      </c>
      <c r="K1818" s="55" t="str">
        <f t="shared" si="79"/>
        <v>International</v>
      </c>
    </row>
    <row r="1819" hidden="1">
      <c r="A1819" s="34"/>
      <c r="B1819" s="34" t="str">
        <f>IFERROR(__xludf.DUMMYFUNCTION("""COMPUTED_VALUE"""),"Uzbekistan [GAZ:00004979]                    ")</f>
        <v>Uzbekistan [GAZ:00004979]                    </v>
      </c>
      <c r="C1819" s="34" t="str">
        <f>IFERROR(__xludf.DUMMYFUNCTION("""COMPUTED_VALUE"""),"GAZ:00004979")</f>
        <v>GAZ:00004979</v>
      </c>
      <c r="D1819" s="29" t="str">
        <f>IFERROR(__xludf.DUMMYFUNCTION("""COMPUTED_VALUE"""),"A doubly landlocked country in Central Asia, formerly part of the Soviet Union. It shares borders with Kazakhstan to the west and to the north, Kyrgyzstan and Tajikistan to the east, and Afghanistan and Turkmenistan to the south. Uzbekistan is divided int"&amp;"o twelve provinces (viloyatlar) one autonomous republic (respublika and one independent city (shahar).")</f>
        <v>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v>
      </c>
      <c r="H1819" s="56" t="s">
        <v>19</v>
      </c>
      <c r="I1819" s="56" t="s">
        <v>19</v>
      </c>
      <c r="J1819" s="56" t="s">
        <v>19</v>
      </c>
      <c r="K1819" s="55" t="str">
        <f t="shared" si="79"/>
        <v>International</v>
      </c>
    </row>
    <row r="1820" hidden="1">
      <c r="A1820" s="34"/>
      <c r="B1820" s="34" t="str">
        <f>IFERROR(__xludf.DUMMYFUNCTION("""COMPUTED_VALUE"""),"Vanuatu [GAZ:00006918]                    ")</f>
        <v>Vanuatu [GAZ:00006918]                    </v>
      </c>
      <c r="C1820" s="34" t="str">
        <f>IFERROR(__xludf.DUMMYFUNCTION("""COMPUTED_VALUE"""),"GAZ:00006918")</f>
        <v>GAZ:00006918</v>
      </c>
      <c r="D1820" s="29" t="str">
        <f>IFERROR(__xludf.DUMMYFUNCTION("""COMPUTED_VALUE"""),"An island country located in the South Pacific Ocean. The archipelago, which is of volcanic origin, is 1,750 kilometres (1,090 mi) east of northern Australia, 540 kilometres (340 mi) northeast of New Caledonia, east of New Guinea, southeast of the Solomon"&amp;" Islands, and west of Fiji.")</f>
        <v>An island country located in the South Pacific Ocean. The archipelago, which is of volcanic origin, is 1,750 kilometres (1,090 mi) east of northern Australia, 540 kilometres (340 mi) northeast of New Caledonia, east of New Guinea, southeast of the Solomon Islands, and west of Fiji.</v>
      </c>
      <c r="H1820" s="56" t="s">
        <v>19</v>
      </c>
      <c r="I1820" s="56" t="s">
        <v>19</v>
      </c>
      <c r="J1820" s="56" t="s">
        <v>19</v>
      </c>
      <c r="K1820" s="55" t="str">
        <f t="shared" si="79"/>
        <v>International</v>
      </c>
    </row>
    <row r="1821" hidden="1">
      <c r="A1821" s="34"/>
      <c r="B1821" s="34" t="str">
        <f>IFERROR(__xludf.DUMMYFUNCTION("""COMPUTED_VALUE"""),"Venezuela [GAZ:00002931]                    ")</f>
        <v>Venezuela [GAZ:00002931]                    </v>
      </c>
      <c r="C1821" s="34" t="str">
        <f>IFERROR(__xludf.DUMMYFUNCTION("""COMPUTED_VALUE"""),"GAZ:00002931")</f>
        <v>GAZ:00002931</v>
      </c>
      <c r="D1821" s="29" t="str">
        <f>IFERROR(__xludf.DUMMYFUNCTION("""COMPUTED_VALUE"""),"A country on the northern coast of South America. The country comprises a continental mainland and numerous islands located off the Venezuelan coastline in the Caribbean Sea. The Bolivarian Republic of Venezuela possesses borders with Guyana to the east, "&amp;"Brazil to the south, and Colombia to the west. Trinidad and Tobago, Grenada, St. Lucia, Barbados, Curacao, Bonaire, Aruba, Saint Vincent and the Grenadines and the Leeward Antilles lie just north, off the Venezuelan coast. Venezuela is divided into twenty"&amp;"-three states (Estados), a capital district (distrito capital) corresponding to the city of Caracas, the Federal Dependencies (Dependencias Federales, a special territory), and Guayana Esequiba (claimed in a border dispute with Guyana). Venezuela is furth"&amp;"er subdivided into 335 municipalities (municipios); these are subdivided into over one thousand parishes (parroquias).")</f>
        <v>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v>
      </c>
      <c r="H1821" s="56" t="s">
        <v>19</v>
      </c>
      <c r="I1821" s="56" t="s">
        <v>19</v>
      </c>
      <c r="J1821" s="56" t="s">
        <v>19</v>
      </c>
      <c r="K1821" s="55" t="str">
        <f t="shared" si="79"/>
        <v>International</v>
      </c>
    </row>
    <row r="1822" hidden="1">
      <c r="A1822" s="34"/>
      <c r="B1822" s="34" t="str">
        <f>IFERROR(__xludf.DUMMYFUNCTION("""COMPUTED_VALUE"""),"Viet Nam [GAZ:00003756]                    ")</f>
        <v>Viet Nam [GAZ:00003756]                    </v>
      </c>
      <c r="C1822" s="34" t="str">
        <f>IFERROR(__xludf.DUMMYFUNCTION("""COMPUTED_VALUE"""),"GAZ:00003756")</f>
        <v>GAZ:00003756</v>
      </c>
      <c r="D1822" s="29" t="str">
        <f>IFERROR(__xludf.DUMMYFUNCTION("""COMPUTED_VALUE"""),"The easternmost country on the Indochina Peninsula in Southeast Asia. It borders the Gulf of Thailand, Gulf of Tonkin, and South China Sea, alongside China, Laos, and Cambodia.")</f>
        <v>The easternmost country on the Indochina Peninsula in Southeast Asia. It borders the Gulf of Thailand, Gulf of Tonkin, and South China Sea, alongside China, Laos, and Cambodia.</v>
      </c>
      <c r="H1822" s="56" t="s">
        <v>19</v>
      </c>
      <c r="I1822" s="56" t="s">
        <v>19</v>
      </c>
      <c r="J1822" s="56" t="s">
        <v>19</v>
      </c>
      <c r="K1822" s="55" t="str">
        <f t="shared" si="79"/>
        <v>International</v>
      </c>
    </row>
    <row r="1823" hidden="1">
      <c r="A1823" s="34"/>
      <c r="B1823" s="34" t="str">
        <f>IFERROR(__xludf.DUMMYFUNCTION("""COMPUTED_VALUE"""),"Virgin Islands [GAZ:00003959]                    ")</f>
        <v>Virgin Islands [GAZ:00003959]                    </v>
      </c>
      <c r="C1823" s="34" t="str">
        <f>IFERROR(__xludf.DUMMYFUNCTION("""COMPUTED_VALUE"""),"GAZ:00003959")</f>
        <v>GAZ:00003959</v>
      </c>
      <c r="D1823" s="29" t="str">
        <f>IFERROR(__xludf.DUMMYFUNCTION("""COMPUTED_VALUE"""),"A group of islands in the Caribbean that are an insular area of the United States. The islands are geographically part of the Virgin Islands archipelago and are located in the Leeward Islands of the Lesser Antilles. The US Virgin Islands are an organized,"&amp;" unincorporated United States territory. The US Virgin Islands are administratively divided into two districts and subdivided into 20 sub-districts.")</f>
        <v>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v>
      </c>
      <c r="H1823" s="56" t="s">
        <v>19</v>
      </c>
      <c r="I1823" s="56" t="s">
        <v>19</v>
      </c>
      <c r="J1823" s="56" t="s">
        <v>19</v>
      </c>
      <c r="K1823" s="55" t="str">
        <f t="shared" si="79"/>
        <v>International</v>
      </c>
    </row>
    <row r="1824" hidden="1">
      <c r="A1824" s="34"/>
      <c r="B1824" s="34" t="str">
        <f>IFERROR(__xludf.DUMMYFUNCTION("""COMPUTED_VALUE"""),"Wake Island [GAZ:00007111]                    ")</f>
        <v>Wake Island [GAZ:00007111]                    </v>
      </c>
      <c r="C1824" s="34" t="str">
        <f>IFERROR(__xludf.DUMMYFUNCTION("""COMPUTED_VALUE"""),"GAZ:00007111")</f>
        <v>GAZ:00007111</v>
      </c>
      <c r="D1824" s="29" t="str">
        <f>IFERROR(__xludf.DUMMYFUNCTION("""COMPUTED_VALUE"""),"A coral atoll (despite its name) having a coastline of 19 km in the North Pacific Ocean, located about two-thirds of the way from Honolulu (3,700 km west) to Guam (2,430 km east).")</f>
        <v>A coral atoll (despite its name) having a coastline of 19 km in the North Pacific Ocean, located about two-thirds of the way from Honolulu (3,700 km west) to Guam (2,430 km east).</v>
      </c>
      <c r="H1824" s="56" t="s">
        <v>19</v>
      </c>
      <c r="I1824" s="56" t="s">
        <v>19</v>
      </c>
      <c r="J1824" s="56" t="s">
        <v>19</v>
      </c>
      <c r="K1824" s="55" t="str">
        <f t="shared" si="79"/>
        <v>International</v>
      </c>
    </row>
    <row r="1825" hidden="1">
      <c r="A1825" s="34"/>
      <c r="B1825" s="34" t="str">
        <f>IFERROR(__xludf.DUMMYFUNCTION("""COMPUTED_VALUE"""),"Wallis and Futuna [GAZ:00007191]                    ")</f>
        <v>Wallis and Futuna [GAZ:00007191]                    </v>
      </c>
      <c r="C1825" s="34" t="str">
        <f>IFERROR(__xludf.DUMMYFUNCTION("""COMPUTED_VALUE"""),"GAZ:00007191")</f>
        <v>GAZ:00007191</v>
      </c>
      <c r="D1825" s="29" t="str">
        <f>IFERROR(__xludf.DUMMYFUNCTION("""COMPUTED_VALUE"""),"A Polynesian French island territory (but not part of, or even contiguous with, French Polynesia) in the South Pacific between Fiji and Samoa. It is made up of three main volcanic tropical islands and a number of tiny islets.")</f>
        <v>A Polynesian French island territory (but not part of, or even contiguous with, French Polynesia) in the South Pacific between Fiji and Samoa. It is made up of three main volcanic tropical islands and a number of tiny islets.</v>
      </c>
      <c r="H1825" s="56" t="s">
        <v>19</v>
      </c>
      <c r="I1825" s="56" t="s">
        <v>19</v>
      </c>
      <c r="J1825" s="56" t="s">
        <v>19</v>
      </c>
      <c r="K1825" s="55" t="str">
        <f t="shared" si="79"/>
        <v>International</v>
      </c>
    </row>
    <row r="1826" hidden="1">
      <c r="A1826" s="34"/>
      <c r="B1826" s="34" t="str">
        <f>IFERROR(__xludf.DUMMYFUNCTION("""COMPUTED_VALUE"""),"West Bank [GAZ:00009572]                    ")</f>
        <v>West Bank [GAZ:00009572]                    </v>
      </c>
      <c r="C1826" s="34" t="str">
        <f>IFERROR(__xludf.DUMMYFUNCTION("""COMPUTED_VALUE"""),"GAZ:00009572")</f>
        <v>GAZ:00009572</v>
      </c>
      <c r="D1826" s="29" t="str">
        <f>IFERROR(__xludf.DUMMYFUNCTION("""COMPUTED_VALUE"""),"A landlocked territory near the Mediterranean coast of Western Asia, bordered by Jordan and the Dead Sea to the east and by Israel to the south, west and north.[2] Under Israeli occupation since 1967, the area is split into 167 Palestinian ""islands"" und"&amp;"er partial Palestinian National Authority civil rule, and 230 Israeli settlements into which Israeli law is ""pipelined"".")</f>
        <v>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v>
      </c>
      <c r="H1826" s="56" t="s">
        <v>19</v>
      </c>
      <c r="I1826" s="56" t="s">
        <v>19</v>
      </c>
      <c r="J1826" s="56" t="s">
        <v>19</v>
      </c>
      <c r="K1826" s="55" t="str">
        <f t="shared" si="79"/>
        <v>International</v>
      </c>
    </row>
    <row r="1827" hidden="1">
      <c r="A1827" s="34"/>
      <c r="B1827" s="34" t="str">
        <f>IFERROR(__xludf.DUMMYFUNCTION("""COMPUTED_VALUE"""),"Western Sahara [GAZ:00000564]                    ")</f>
        <v>Western Sahara [GAZ:00000564]                    </v>
      </c>
      <c r="C1827" s="34" t="str">
        <f>IFERROR(__xludf.DUMMYFUNCTION("""COMPUTED_VALUE"""),"GAZ:00000564")</f>
        <v>GAZ:00000564</v>
      </c>
      <c r="D1827" s="29" t="str">
        <f>IFERROR(__xludf.DUMMYFUNCTION("""COMPUTED_VALUE"""),"A territory of northwestern Africa, bordered by Morocco to the north, Algeria in the northeast, Mauritania to the east and south, and the Atlantic Ocean on the west. Western Sahara is administratively divided into four regions.")</f>
        <v>A territory of northwestern Africa, bordered by Morocco to the north, Algeria in the northeast, Mauritania to the east and south, and the Atlantic Ocean on the west. Western Sahara is administratively divided into four regions.</v>
      </c>
      <c r="H1827" s="56" t="s">
        <v>19</v>
      </c>
      <c r="I1827" s="56" t="s">
        <v>19</v>
      </c>
      <c r="J1827" s="56" t="s">
        <v>19</v>
      </c>
      <c r="K1827" s="55" t="str">
        <f t="shared" si="79"/>
        <v>International</v>
      </c>
    </row>
    <row r="1828" hidden="1">
      <c r="A1828" s="34"/>
      <c r="B1828" s="34" t="str">
        <f>IFERROR(__xludf.DUMMYFUNCTION("""COMPUTED_VALUE"""),"Yemen [GAZ:00005284]                    ")</f>
        <v>Yemen [GAZ:00005284]                    </v>
      </c>
      <c r="C1828" s="34" t="str">
        <f>IFERROR(__xludf.DUMMYFUNCTION("""COMPUTED_VALUE"""),"GAZ:00005284")</f>
        <v>GAZ:00005284</v>
      </c>
      <c r="D1828" s="29" t="str">
        <f>IFERROR(__xludf.DUMMYFUNCTION("""COMPUTED_VALUE"""),"A country located on the Arabian Peninsula in Southwest Asia. Yemen is bordered by Saudi Arabia to the North, the Red Sea to the West, the Arabian Sea and Gulf of Aden to the South, and Oman to the east. Yemen's territory includes over 200 islands, the la"&amp;"rgest of which is Socotra, about 415 km to the south of Yemen, off the coast of Somalia. As of 2004-02, Yemen is divided into twenty governorates (muhafazah) and one municipality. The population of each governorate is listed in the table below. The govern"&amp;"orates of Yemen are divided into 333 districts (muderiah). The districts are subdivided into 2,210 sub-districts, and then into 38,284 villages (as of 2001).")</f>
        <v>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v>
      </c>
      <c r="H1828" s="56" t="s">
        <v>19</v>
      </c>
      <c r="I1828" s="56" t="s">
        <v>19</v>
      </c>
      <c r="J1828" s="56" t="s">
        <v>19</v>
      </c>
      <c r="K1828" s="55" t="str">
        <f t="shared" si="79"/>
        <v>International</v>
      </c>
    </row>
    <row r="1829" hidden="1">
      <c r="A1829" s="34"/>
      <c r="B1829" s="34" t="str">
        <f>IFERROR(__xludf.DUMMYFUNCTION("""COMPUTED_VALUE"""),"Zambia [GAZ:00001107]                    ")</f>
        <v>Zambia [GAZ:00001107]                    </v>
      </c>
      <c r="C1829" s="34" t="str">
        <f>IFERROR(__xludf.DUMMYFUNCTION("""COMPUTED_VALUE"""),"GAZ:00001107")</f>
        <v>GAZ:00001107</v>
      </c>
      <c r="D1829" s="29" t="str">
        <f>IFERROR(__xludf.DUMMYFUNCTION("""COMPUTED_VALUE"""),"A landlocked country in Southern Africa. The neighbouring countries are the Democratic Republic of the Congo to the north, Tanzania to the north-east, Malawi to the east, Mozambique, Zimbabwe, Botswana, and Namibia to the south, and Angola to the west. Th"&amp;"e capital city is Lusaka. Zambia is divided into nine provinces. Each province is subdivided into several districts with a total of 73 districts.")</f>
        <v>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v>
      </c>
      <c r="H1829" s="56" t="s">
        <v>19</v>
      </c>
      <c r="I1829" s="56" t="s">
        <v>19</v>
      </c>
      <c r="J1829" s="56" t="s">
        <v>19</v>
      </c>
      <c r="K1829" s="55" t="str">
        <f t="shared" si="79"/>
        <v>International</v>
      </c>
    </row>
    <row r="1830" hidden="1">
      <c r="B1830" s="34" t="str">
        <f>IFERROR(__xludf.DUMMYFUNCTION("""COMPUTED_VALUE"""),"Zimbabwe [GAZ:00001106]                    ")</f>
        <v>Zimbabwe [GAZ:00001106]                    </v>
      </c>
      <c r="C1830" s="34" t="str">
        <f>IFERROR(__xludf.DUMMYFUNCTION("""COMPUTED_VALUE"""),"GAZ:00001106")</f>
        <v>GAZ:00001106</v>
      </c>
      <c r="D1830" s="29" t="str">
        <f>IFERROR(__xludf.DUMMYFUNCTION("""COMPUTED_VALUE"""),"A landlocked country in the southern part of the continent of Africa, between the Zambezi and Limpopo rivers. It is bordered by South Africa to the south, Botswana to the southwest, Zambia to the northwest, and Mozambique to the east. Zimbabwe is divided "&amp;"into eight provinces and two cities with provincial status. The provinces are subdivided into 59 districts and 1,200 municipalities.")</f>
        <v>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v>
      </c>
      <c r="H1830" s="56" t="s">
        <v>19</v>
      </c>
      <c r="I1830" s="56" t="s">
        <v>19</v>
      </c>
      <c r="J1830" s="56" t="s">
        <v>19</v>
      </c>
      <c r="K1830" s="55" t="str">
        <f t="shared" si="79"/>
        <v>International</v>
      </c>
    </row>
    <row r="1831" hidden="1">
      <c r="D1831" s="29"/>
      <c r="K1831" s="55"/>
    </row>
    <row r="1832" hidden="1">
      <c r="D1832" s="29"/>
      <c r="K1832" s="55"/>
    </row>
    <row r="1833" hidden="1">
      <c r="D1833" s="29"/>
      <c r="K1833" s="55"/>
    </row>
    <row r="1834" hidden="1">
      <c r="D1834" s="29"/>
      <c r="K1834" s="55"/>
    </row>
    <row r="1835" hidden="1">
      <c r="D1835" s="29"/>
      <c r="K1835" s="55"/>
    </row>
    <row r="1836" hidden="1">
      <c r="D1836" s="29"/>
      <c r="K1836" s="55"/>
    </row>
    <row r="1837" hidden="1">
      <c r="D1837" s="29"/>
      <c r="K1837" s="55"/>
    </row>
    <row r="1838" hidden="1">
      <c r="D1838" s="29"/>
      <c r="K1838" s="55"/>
    </row>
    <row r="1839" hidden="1">
      <c r="D1839" s="29"/>
      <c r="K1839" s="55"/>
    </row>
    <row r="1840" hidden="1">
      <c r="D1840" s="29"/>
      <c r="K1840" s="55"/>
    </row>
    <row r="1841" hidden="1">
      <c r="D1841" s="29"/>
      <c r="K1841" s="55"/>
    </row>
    <row r="1842" hidden="1">
      <c r="D1842" s="29"/>
      <c r="K1842" s="55"/>
    </row>
    <row r="1843" hidden="1">
      <c r="D1843" s="29"/>
      <c r="K1843" s="55"/>
    </row>
    <row r="1844" hidden="1">
      <c r="D1844" s="29"/>
      <c r="K1844" s="55"/>
    </row>
    <row r="1845" hidden="1">
      <c r="D1845" s="29"/>
      <c r="K1845" s="55"/>
    </row>
    <row r="1846" hidden="1">
      <c r="D1846" s="29"/>
      <c r="K1846" s="55"/>
    </row>
    <row r="1847" hidden="1">
      <c r="D1847" s="29"/>
      <c r="K1847" s="55"/>
    </row>
    <row r="1848" hidden="1">
      <c r="D1848" s="29"/>
      <c r="K1848" s="55"/>
    </row>
    <row r="1849" hidden="1">
      <c r="D1849" s="29"/>
      <c r="K1849" s="55"/>
    </row>
    <row r="1850" hidden="1">
      <c r="D1850" s="29"/>
      <c r="K1850" s="55"/>
    </row>
    <row r="1851" hidden="1">
      <c r="D1851" s="29"/>
      <c r="K1851" s="55"/>
    </row>
    <row r="1852" hidden="1">
      <c r="D1852" s="29"/>
      <c r="K1852" s="55"/>
    </row>
    <row r="1853" hidden="1">
      <c r="D1853" s="29"/>
      <c r="K1853" s="55"/>
    </row>
    <row r="1854" hidden="1">
      <c r="D1854" s="29"/>
      <c r="K1854" s="55"/>
    </row>
    <row r="1855" hidden="1">
      <c r="D1855" s="29"/>
      <c r="K1855" s="55"/>
    </row>
    <row r="1856" hidden="1">
      <c r="D1856" s="29"/>
      <c r="K1856" s="55"/>
    </row>
    <row r="1857" hidden="1">
      <c r="D1857" s="29"/>
      <c r="K1857" s="55"/>
    </row>
    <row r="1858" hidden="1">
      <c r="D1858" s="29"/>
      <c r="K1858" s="55"/>
    </row>
    <row r="1859" hidden="1">
      <c r="D1859" s="29"/>
      <c r="K1859" s="55"/>
    </row>
    <row r="1860" hidden="1">
      <c r="D1860" s="29"/>
      <c r="K1860" s="55"/>
    </row>
    <row r="1861" hidden="1">
      <c r="D1861" s="29"/>
      <c r="K1861" s="55"/>
    </row>
    <row r="1862" hidden="1">
      <c r="D1862" s="29"/>
      <c r="K1862" s="55"/>
    </row>
    <row r="1863" hidden="1">
      <c r="D1863" s="29"/>
      <c r="K1863" s="55"/>
    </row>
    <row r="1864" hidden="1">
      <c r="D1864" s="29"/>
      <c r="K1864" s="55"/>
    </row>
    <row r="1865" hidden="1">
      <c r="D1865" s="29"/>
      <c r="K1865" s="55"/>
    </row>
    <row r="1866" hidden="1">
      <c r="D1866" s="29"/>
      <c r="K1866" s="55"/>
    </row>
    <row r="1867" hidden="1">
      <c r="D1867" s="29"/>
      <c r="K1867" s="55"/>
    </row>
    <row r="1868" hidden="1">
      <c r="D1868" s="29"/>
      <c r="K1868" s="55"/>
    </row>
    <row r="1869" hidden="1">
      <c r="D1869" s="29"/>
      <c r="K1869" s="55"/>
    </row>
    <row r="1870" hidden="1">
      <c r="D1870" s="29"/>
      <c r="K1870" s="55"/>
    </row>
    <row r="1871" hidden="1">
      <c r="D1871" s="29"/>
      <c r="K1871" s="55"/>
    </row>
    <row r="1872" hidden="1">
      <c r="D1872" s="29"/>
      <c r="K1872" s="55"/>
    </row>
    <row r="1873" hidden="1">
      <c r="D1873" s="29"/>
      <c r="K1873" s="55"/>
    </row>
    <row r="1874" hidden="1">
      <c r="D1874" s="29"/>
      <c r="K1874" s="55"/>
    </row>
    <row r="1875" hidden="1">
      <c r="D1875" s="29"/>
      <c r="K1875" s="55"/>
    </row>
    <row r="1876" hidden="1">
      <c r="D1876" s="29"/>
      <c r="K1876" s="55"/>
    </row>
    <row r="1877" hidden="1">
      <c r="D1877" s="29"/>
      <c r="K1877" s="55"/>
    </row>
    <row r="1878" hidden="1">
      <c r="D1878" s="29"/>
      <c r="K1878" s="55"/>
    </row>
    <row r="1879" hidden="1">
      <c r="D1879" s="29"/>
      <c r="K1879" s="55"/>
    </row>
    <row r="1880" hidden="1">
      <c r="D1880" s="29"/>
      <c r="K1880" s="55"/>
    </row>
    <row r="1881" hidden="1">
      <c r="D1881" s="29"/>
      <c r="K1881" s="55"/>
    </row>
    <row r="1882" hidden="1">
      <c r="D1882" s="29"/>
      <c r="K1882" s="55"/>
    </row>
    <row r="1883" hidden="1">
      <c r="D1883" s="29"/>
      <c r="K1883" s="55"/>
    </row>
    <row r="1884" hidden="1">
      <c r="D1884" s="29"/>
      <c r="K1884" s="55"/>
    </row>
    <row r="1885" hidden="1">
      <c r="D1885" s="29"/>
      <c r="K1885" s="55"/>
    </row>
    <row r="1886" hidden="1">
      <c r="D1886" s="29"/>
      <c r="K1886" s="55"/>
    </row>
    <row r="1887" hidden="1">
      <c r="D1887" s="29"/>
      <c r="K1887" s="55"/>
    </row>
    <row r="1888" hidden="1">
      <c r="D1888" s="29"/>
      <c r="K1888" s="55"/>
    </row>
    <row r="1889" hidden="1">
      <c r="D1889" s="29"/>
      <c r="K1889" s="55"/>
    </row>
    <row r="1890" hidden="1">
      <c r="D1890" s="29"/>
      <c r="K1890" s="55"/>
    </row>
    <row r="1891" hidden="1">
      <c r="D1891" s="29"/>
      <c r="K1891" s="55"/>
    </row>
    <row r="1892" hidden="1">
      <c r="D1892" s="29"/>
      <c r="K1892" s="55"/>
    </row>
    <row r="1893" hidden="1">
      <c r="D1893" s="29"/>
      <c r="K1893" s="55"/>
    </row>
    <row r="1894" hidden="1">
      <c r="D1894" s="29"/>
      <c r="K1894" s="55"/>
    </row>
    <row r="1895" hidden="1">
      <c r="D1895" s="29"/>
      <c r="K1895" s="55"/>
    </row>
    <row r="1896" hidden="1">
      <c r="D1896" s="29"/>
      <c r="K1896" s="55"/>
    </row>
    <row r="1897" hidden="1">
      <c r="D1897" s="29"/>
      <c r="K1897" s="55"/>
    </row>
    <row r="1898" hidden="1">
      <c r="D1898" s="29"/>
      <c r="K1898" s="55"/>
    </row>
    <row r="1899" hidden="1">
      <c r="D1899" s="29"/>
      <c r="K1899" s="55"/>
    </row>
    <row r="1900" hidden="1">
      <c r="D1900" s="29"/>
      <c r="K1900" s="55"/>
    </row>
    <row r="1901" hidden="1">
      <c r="D1901" s="29"/>
      <c r="K1901" s="55"/>
    </row>
    <row r="1902" hidden="1">
      <c r="D1902" s="29"/>
      <c r="K1902" s="55"/>
    </row>
    <row r="1903" hidden="1">
      <c r="D1903" s="29"/>
      <c r="K1903" s="55"/>
    </row>
    <row r="1904" hidden="1">
      <c r="D1904" s="29"/>
      <c r="K1904" s="55"/>
    </row>
    <row r="1905" hidden="1">
      <c r="D1905" s="29"/>
      <c r="K1905" s="55"/>
    </row>
    <row r="1906" hidden="1">
      <c r="D1906" s="29"/>
      <c r="K1906" s="55"/>
    </row>
    <row r="1907" hidden="1">
      <c r="D1907" s="29"/>
      <c r="K1907" s="55"/>
    </row>
    <row r="1908" hidden="1">
      <c r="D1908" s="29"/>
      <c r="K1908" s="55"/>
    </row>
    <row r="1909" hidden="1">
      <c r="D1909" s="29"/>
      <c r="K1909" s="55"/>
    </row>
    <row r="1910" hidden="1">
      <c r="D1910" s="29"/>
      <c r="K1910" s="55"/>
    </row>
    <row r="1911" hidden="1">
      <c r="D1911" s="29"/>
      <c r="K1911" s="55"/>
    </row>
    <row r="1912" hidden="1">
      <c r="D1912" s="29"/>
      <c r="K1912" s="55"/>
    </row>
    <row r="1913" hidden="1">
      <c r="D1913" s="29"/>
      <c r="K1913" s="55"/>
    </row>
    <row r="1914" hidden="1">
      <c r="D1914" s="29"/>
      <c r="K1914" s="55"/>
    </row>
    <row r="1915" hidden="1">
      <c r="D1915" s="29"/>
      <c r="K1915" s="55"/>
    </row>
    <row r="1916" hidden="1">
      <c r="D1916" s="29"/>
      <c r="K1916" s="55"/>
    </row>
    <row r="1917" hidden="1">
      <c r="D1917" s="29"/>
      <c r="K1917" s="55"/>
    </row>
    <row r="1918" hidden="1">
      <c r="D1918" s="29"/>
      <c r="K1918" s="55"/>
    </row>
    <row r="1919" hidden="1">
      <c r="D1919" s="29"/>
      <c r="K1919" s="55"/>
    </row>
    <row r="1920" hidden="1">
      <c r="D1920" s="29"/>
      <c r="K1920" s="55"/>
    </row>
    <row r="1921" hidden="1">
      <c r="D1921" s="29"/>
      <c r="K1921" s="55"/>
    </row>
    <row r="1922" hidden="1">
      <c r="D1922" s="29"/>
      <c r="K1922" s="55"/>
    </row>
    <row r="1923" hidden="1">
      <c r="D1923" s="29"/>
      <c r="K1923" s="55"/>
    </row>
    <row r="1924" hidden="1">
      <c r="D1924" s="29"/>
      <c r="K1924" s="55"/>
    </row>
    <row r="1925" hidden="1">
      <c r="D1925" s="29"/>
      <c r="K1925" s="55"/>
    </row>
    <row r="1926" hidden="1">
      <c r="D1926" s="29"/>
      <c r="K1926" s="55"/>
    </row>
    <row r="1927" hidden="1">
      <c r="D1927" s="29"/>
      <c r="K1927" s="55"/>
    </row>
    <row r="1928" hidden="1">
      <c r="D1928" s="29"/>
      <c r="K1928" s="55"/>
    </row>
    <row r="1929" hidden="1">
      <c r="D1929" s="29"/>
      <c r="K1929" s="55"/>
    </row>
    <row r="1930" hidden="1">
      <c r="D1930" s="29"/>
      <c r="K1930" s="55"/>
    </row>
    <row r="1931" hidden="1">
      <c r="D1931" s="29"/>
      <c r="K1931" s="55"/>
    </row>
    <row r="1932" hidden="1">
      <c r="D1932" s="29"/>
      <c r="K1932" s="55"/>
    </row>
    <row r="1933" hidden="1">
      <c r="D1933" s="29"/>
      <c r="K1933" s="55"/>
    </row>
    <row r="1934" hidden="1">
      <c r="D1934" s="29"/>
      <c r="K1934" s="55"/>
    </row>
    <row r="1935" hidden="1">
      <c r="D1935" s="29"/>
      <c r="K1935" s="55"/>
    </row>
    <row r="1936" hidden="1">
      <c r="D1936" s="29"/>
      <c r="K1936" s="55"/>
    </row>
    <row r="1937" hidden="1">
      <c r="D1937" s="29"/>
      <c r="K1937" s="55"/>
    </row>
    <row r="1938" hidden="1">
      <c r="D1938" s="29"/>
      <c r="K1938" s="55"/>
    </row>
    <row r="1939" hidden="1">
      <c r="D1939" s="29"/>
      <c r="K1939" s="55"/>
    </row>
    <row r="1940" hidden="1">
      <c r="D1940" s="29"/>
      <c r="K1940" s="55"/>
    </row>
    <row r="1941" hidden="1">
      <c r="D1941" s="29"/>
      <c r="K1941" s="55"/>
    </row>
    <row r="1942" hidden="1">
      <c r="D1942" s="29"/>
      <c r="K1942" s="55"/>
    </row>
    <row r="1943" hidden="1">
      <c r="D1943" s="29"/>
      <c r="K1943" s="55"/>
    </row>
    <row r="1944" hidden="1">
      <c r="D1944" s="29"/>
      <c r="K1944" s="55"/>
    </row>
    <row r="1945" hidden="1">
      <c r="D1945" s="29"/>
      <c r="K1945" s="55"/>
    </row>
    <row r="1946" hidden="1">
      <c r="D1946" s="29"/>
      <c r="K1946" s="55"/>
    </row>
    <row r="1947" hidden="1">
      <c r="D1947" s="29"/>
      <c r="K1947" s="55"/>
    </row>
    <row r="1948" hidden="1">
      <c r="D1948" s="29"/>
      <c r="K1948" s="55"/>
    </row>
    <row r="1949" hidden="1">
      <c r="D1949" s="29"/>
      <c r="K1949" s="55"/>
    </row>
    <row r="1950" hidden="1">
      <c r="D1950" s="29"/>
      <c r="K1950" s="55"/>
    </row>
    <row r="1951" hidden="1">
      <c r="D1951" s="29"/>
      <c r="K1951" s="55"/>
    </row>
    <row r="1952" hidden="1">
      <c r="D1952" s="29"/>
      <c r="K1952" s="55"/>
    </row>
    <row r="1953" hidden="1">
      <c r="D1953" s="29"/>
      <c r="K1953" s="55"/>
    </row>
    <row r="1954" hidden="1">
      <c r="D1954" s="29"/>
      <c r="K1954" s="55"/>
    </row>
    <row r="1955" hidden="1">
      <c r="D1955" s="29"/>
      <c r="K1955" s="55"/>
    </row>
    <row r="1956" hidden="1">
      <c r="D1956" s="29"/>
      <c r="K1956" s="55"/>
    </row>
    <row r="1957" hidden="1">
      <c r="D1957" s="29"/>
      <c r="K1957" s="55"/>
    </row>
    <row r="1958" hidden="1">
      <c r="D1958" s="29"/>
      <c r="K1958" s="55"/>
    </row>
    <row r="1959" hidden="1">
      <c r="D1959" s="29"/>
      <c r="K1959" s="55"/>
    </row>
    <row r="1960" hidden="1">
      <c r="D1960" s="29"/>
      <c r="K1960" s="55"/>
    </row>
    <row r="1961" hidden="1">
      <c r="D1961" s="29"/>
      <c r="K1961" s="55"/>
    </row>
    <row r="1962" hidden="1">
      <c r="D1962" s="29"/>
      <c r="K1962" s="55"/>
    </row>
    <row r="1963" hidden="1">
      <c r="D1963" s="29"/>
      <c r="K1963" s="55"/>
    </row>
    <row r="1964" hidden="1">
      <c r="D1964" s="29"/>
      <c r="K1964" s="55"/>
    </row>
    <row r="1965" hidden="1">
      <c r="D1965" s="29"/>
      <c r="K1965" s="55"/>
    </row>
    <row r="1966" hidden="1">
      <c r="D1966" s="29"/>
      <c r="K1966" s="55"/>
    </row>
    <row r="1967" hidden="1">
      <c r="D1967" s="29"/>
      <c r="K1967" s="55"/>
    </row>
    <row r="1968" hidden="1">
      <c r="D1968" s="29"/>
      <c r="K1968" s="55"/>
    </row>
    <row r="1969" hidden="1">
      <c r="D1969" s="29"/>
      <c r="K1969" s="55"/>
    </row>
    <row r="1970" hidden="1">
      <c r="D1970" s="29"/>
      <c r="K1970" s="55"/>
    </row>
    <row r="1971" hidden="1">
      <c r="D1971" s="29"/>
      <c r="K1971" s="55"/>
    </row>
    <row r="1972" hidden="1">
      <c r="D1972" s="29"/>
      <c r="K1972" s="55"/>
    </row>
    <row r="1973" hidden="1">
      <c r="D1973" s="29"/>
      <c r="K1973" s="55"/>
    </row>
    <row r="1974" hidden="1">
      <c r="D1974" s="29"/>
      <c r="K1974" s="55"/>
    </row>
    <row r="1975" hidden="1">
      <c r="D1975" s="29"/>
      <c r="K1975" s="55"/>
    </row>
    <row r="1976" hidden="1">
      <c r="D1976" s="29"/>
      <c r="K1976" s="55"/>
    </row>
    <row r="1977" hidden="1">
      <c r="D1977" s="29"/>
      <c r="K1977" s="55"/>
    </row>
    <row r="1978" hidden="1">
      <c r="D1978" s="29"/>
      <c r="K1978" s="55"/>
    </row>
    <row r="1979" hidden="1">
      <c r="D1979" s="29"/>
      <c r="K1979" s="55"/>
    </row>
    <row r="1980" hidden="1">
      <c r="D1980" s="29"/>
      <c r="K1980" s="55"/>
    </row>
    <row r="1981" hidden="1">
      <c r="D1981" s="29"/>
      <c r="K1981" s="55"/>
    </row>
    <row r="1982" hidden="1">
      <c r="D1982" s="29"/>
      <c r="K1982" s="55"/>
    </row>
    <row r="1983" hidden="1">
      <c r="D1983" s="29"/>
      <c r="K1983" s="55"/>
    </row>
    <row r="1984" hidden="1">
      <c r="D1984" s="29"/>
      <c r="K1984" s="55"/>
    </row>
    <row r="1985" hidden="1">
      <c r="D1985" s="29"/>
      <c r="K1985" s="55"/>
    </row>
    <row r="1986" hidden="1">
      <c r="D1986" s="29"/>
      <c r="K1986" s="55"/>
    </row>
    <row r="1987" hidden="1">
      <c r="D1987" s="29"/>
      <c r="K1987" s="55"/>
    </row>
    <row r="1988" hidden="1">
      <c r="D1988" s="29"/>
      <c r="K1988" s="55"/>
    </row>
    <row r="1989" hidden="1">
      <c r="D1989" s="29"/>
      <c r="K1989" s="55"/>
    </row>
    <row r="1990" hidden="1">
      <c r="D1990" s="29"/>
      <c r="K1990" s="55"/>
    </row>
    <row r="1991" hidden="1">
      <c r="D1991" s="29"/>
      <c r="K1991" s="55"/>
    </row>
    <row r="1992" hidden="1">
      <c r="D1992" s="29"/>
      <c r="K1992" s="55"/>
    </row>
    <row r="1993" hidden="1">
      <c r="D1993" s="29"/>
      <c r="K1993" s="55"/>
    </row>
    <row r="1994" hidden="1">
      <c r="D1994" s="29"/>
      <c r="K1994" s="55"/>
    </row>
    <row r="1995" hidden="1">
      <c r="D1995" s="29"/>
      <c r="K1995" s="55"/>
    </row>
    <row r="1996" hidden="1">
      <c r="D1996" s="29"/>
      <c r="K1996" s="55"/>
    </row>
    <row r="1997" hidden="1">
      <c r="D1997" s="29"/>
      <c r="K1997" s="55"/>
    </row>
    <row r="1998" hidden="1">
      <c r="D1998" s="29"/>
      <c r="K1998" s="55"/>
    </row>
    <row r="1999" hidden="1">
      <c r="D1999" s="29"/>
      <c r="K1999" s="55"/>
    </row>
    <row r="2000" hidden="1">
      <c r="D2000" s="29"/>
    </row>
    <row r="2001" hidden="1">
      <c r="D2001" s="29"/>
    </row>
    <row r="2002" hidden="1">
      <c r="D2002" s="29"/>
    </row>
    <row r="2003" hidden="1">
      <c r="D2003" s="29"/>
    </row>
    <row r="2004" hidden="1">
      <c r="D2004" s="29"/>
    </row>
    <row r="2005" hidden="1">
      <c r="D2005" s="29"/>
    </row>
    <row r="2006" hidden="1">
      <c r="D2006" s="29"/>
    </row>
    <row r="2007" hidden="1">
      <c r="D2007" s="29"/>
    </row>
    <row r="2008" hidden="1">
      <c r="D2008" s="29"/>
    </row>
    <row r="2009" hidden="1">
      <c r="D2009" s="29"/>
    </row>
    <row r="2010" hidden="1">
      <c r="D2010" s="29"/>
    </row>
    <row r="2011" hidden="1">
      <c r="D2011" s="29"/>
    </row>
    <row r="2012" hidden="1">
      <c r="D2012" s="29"/>
    </row>
    <row r="2013" hidden="1">
      <c r="D2013" s="29"/>
    </row>
    <row r="2014" hidden="1">
      <c r="D2014" s="29"/>
    </row>
    <row r="2015" hidden="1">
      <c r="D2015" s="29"/>
    </row>
    <row r="2016" hidden="1">
      <c r="D2016" s="29"/>
    </row>
    <row r="2017" hidden="1">
      <c r="D2017" s="29"/>
    </row>
    <row r="2018" hidden="1">
      <c r="D2018" s="29"/>
    </row>
    <row r="2019" hidden="1">
      <c r="D2019" s="29"/>
    </row>
    <row r="2020" hidden="1">
      <c r="D2020" s="29"/>
    </row>
    <row r="2021" hidden="1">
      <c r="D2021" s="29"/>
    </row>
    <row r="2022" hidden="1">
      <c r="D2022" s="29"/>
    </row>
    <row r="2023" hidden="1">
      <c r="D2023" s="29"/>
    </row>
    <row r="2024" hidden="1">
      <c r="D2024" s="29"/>
    </row>
    <row r="2025" hidden="1">
      <c r="D2025" s="29"/>
    </row>
    <row r="2026" hidden="1">
      <c r="D2026" s="29"/>
    </row>
    <row r="2027" hidden="1">
      <c r="D2027" s="29"/>
    </row>
    <row r="2028" hidden="1">
      <c r="D2028" s="29"/>
    </row>
    <row r="2029" hidden="1">
      <c r="D2029" s="29"/>
    </row>
    <row r="2030" hidden="1">
      <c r="D2030" s="29"/>
    </row>
    <row r="2031" hidden="1">
      <c r="D2031" s="29"/>
    </row>
    <row r="2032" hidden="1">
      <c r="D2032" s="29"/>
    </row>
    <row r="2033" hidden="1">
      <c r="D2033" s="29"/>
    </row>
    <row r="2034" hidden="1">
      <c r="D2034" s="29"/>
    </row>
    <row r="2035" hidden="1">
      <c r="D2035" s="29"/>
    </row>
    <row r="2036" hidden="1">
      <c r="D2036" s="29"/>
    </row>
    <row r="2037" hidden="1">
      <c r="D2037" s="29"/>
    </row>
    <row r="2038" hidden="1">
      <c r="D2038" s="29"/>
    </row>
    <row r="2039" hidden="1">
      <c r="D2039" s="29"/>
    </row>
    <row r="2040" hidden="1">
      <c r="D2040" s="29"/>
    </row>
    <row r="2041" hidden="1">
      <c r="D2041" s="29"/>
    </row>
    <row r="2042" hidden="1">
      <c r="D2042" s="29"/>
    </row>
    <row r="2043" hidden="1">
      <c r="D2043" s="29"/>
    </row>
    <row r="2044" hidden="1">
      <c r="D2044" s="29"/>
    </row>
    <row r="2045" hidden="1">
      <c r="D2045" s="29"/>
    </row>
    <row r="2046" hidden="1">
      <c r="D2046" s="29"/>
    </row>
    <row r="2047" hidden="1">
      <c r="D2047" s="29"/>
    </row>
    <row r="2048" hidden="1">
      <c r="D2048" s="29"/>
    </row>
    <row r="2049" hidden="1">
      <c r="D2049" s="29"/>
    </row>
    <row r="2050" hidden="1">
      <c r="D2050" s="29"/>
    </row>
    <row r="2051" hidden="1">
      <c r="D2051" s="29"/>
    </row>
    <row r="2052" hidden="1">
      <c r="D2052" s="29"/>
    </row>
    <row r="2053" hidden="1">
      <c r="D2053" s="29"/>
    </row>
    <row r="2054" hidden="1">
      <c r="D2054" s="29"/>
    </row>
    <row r="2055" hidden="1">
      <c r="D2055" s="29"/>
    </row>
    <row r="2056" hidden="1">
      <c r="D2056" s="29"/>
    </row>
    <row r="2057" hidden="1">
      <c r="D2057" s="29"/>
    </row>
    <row r="2058" hidden="1">
      <c r="D2058" s="29"/>
    </row>
    <row r="2059" hidden="1">
      <c r="D2059" s="29"/>
    </row>
    <row r="2060" hidden="1">
      <c r="D2060" s="29"/>
    </row>
    <row r="2061" hidden="1">
      <c r="D2061" s="29"/>
    </row>
    <row r="2062" hidden="1">
      <c r="D2062" s="29"/>
    </row>
    <row r="2063" hidden="1">
      <c r="D2063" s="29"/>
    </row>
    <row r="2064" hidden="1">
      <c r="D2064" s="29"/>
    </row>
    <row r="2065" hidden="1">
      <c r="D2065" s="29"/>
    </row>
    <row r="2066" hidden="1">
      <c r="D2066" s="29"/>
    </row>
    <row r="2067" hidden="1">
      <c r="D2067" s="29"/>
    </row>
    <row r="2068" hidden="1">
      <c r="D2068" s="29"/>
    </row>
    <row r="2069" hidden="1">
      <c r="D2069" s="29"/>
    </row>
    <row r="2070" hidden="1">
      <c r="D2070" s="29"/>
    </row>
    <row r="2071" hidden="1">
      <c r="D2071" s="29"/>
    </row>
    <row r="2072" hidden="1">
      <c r="D2072" s="29"/>
    </row>
    <row r="2073" hidden="1">
      <c r="D2073" s="29"/>
    </row>
    <row r="2074" hidden="1">
      <c r="D2074" s="29"/>
    </row>
    <row r="2075" hidden="1">
      <c r="D2075" s="29"/>
    </row>
    <row r="2076" hidden="1">
      <c r="D2076" s="29"/>
    </row>
    <row r="2077" hidden="1">
      <c r="D2077" s="29"/>
    </row>
    <row r="2078" hidden="1">
      <c r="D2078" s="29"/>
    </row>
    <row r="2079" hidden="1">
      <c r="D2079" s="29"/>
    </row>
    <row r="2080" hidden="1">
      <c r="D2080" s="29"/>
    </row>
    <row r="2081" hidden="1">
      <c r="D2081" s="29"/>
    </row>
    <row r="2082" hidden="1">
      <c r="D2082" s="29"/>
    </row>
    <row r="2083" hidden="1">
      <c r="D2083" s="29"/>
    </row>
    <row r="2084" hidden="1">
      <c r="D2084" s="29"/>
    </row>
    <row r="2085" hidden="1">
      <c r="D2085" s="29"/>
    </row>
    <row r="2086" hidden="1">
      <c r="D2086" s="29"/>
    </row>
    <row r="2087" hidden="1">
      <c r="D2087" s="29"/>
    </row>
    <row r="2088" hidden="1">
      <c r="D2088" s="29"/>
    </row>
    <row r="2089" hidden="1">
      <c r="D2089" s="29"/>
    </row>
    <row r="2090" hidden="1">
      <c r="D2090" s="29"/>
    </row>
    <row r="2091" hidden="1">
      <c r="D2091" s="29"/>
    </row>
    <row r="2092" hidden="1">
      <c r="D2092" s="29"/>
    </row>
    <row r="2093" hidden="1">
      <c r="D2093" s="29"/>
    </row>
    <row r="2094" hidden="1">
      <c r="D2094" s="29"/>
    </row>
    <row r="2095" hidden="1">
      <c r="D2095" s="29"/>
    </row>
    <row r="2096" hidden="1">
      <c r="D2096" s="29"/>
    </row>
    <row r="2097" hidden="1">
      <c r="D2097" s="29"/>
    </row>
    <row r="2098" hidden="1">
      <c r="D2098" s="29"/>
    </row>
    <row r="2099" hidden="1">
      <c r="D2099" s="29"/>
    </row>
    <row r="2100" hidden="1">
      <c r="D2100" s="29"/>
    </row>
    <row r="2101" hidden="1">
      <c r="D2101" s="29"/>
    </row>
    <row r="2102" hidden="1">
      <c r="D2102" s="29"/>
    </row>
    <row r="2103" hidden="1">
      <c r="D2103" s="29"/>
    </row>
    <row r="2104" hidden="1">
      <c r="D2104" s="29"/>
    </row>
    <row r="2105" hidden="1">
      <c r="D2105" s="29"/>
    </row>
    <row r="2106" hidden="1">
      <c r="D2106" s="29"/>
    </row>
    <row r="2107" hidden="1">
      <c r="D2107" s="29"/>
    </row>
    <row r="2108" hidden="1">
      <c r="D2108" s="29"/>
    </row>
    <row r="2109" hidden="1">
      <c r="D2109" s="29"/>
    </row>
    <row r="2110" hidden="1">
      <c r="D2110" s="29"/>
    </row>
    <row r="2111" hidden="1">
      <c r="D2111" s="29"/>
    </row>
    <row r="2112" hidden="1">
      <c r="D2112" s="29"/>
    </row>
    <row r="2113" hidden="1">
      <c r="D2113" s="29"/>
    </row>
    <row r="2114" hidden="1">
      <c r="D2114" s="29"/>
    </row>
    <row r="2115" hidden="1">
      <c r="D2115" s="29"/>
    </row>
    <row r="2116" hidden="1">
      <c r="D2116" s="29"/>
    </row>
    <row r="2117" hidden="1">
      <c r="D2117" s="29"/>
    </row>
    <row r="2118" hidden="1">
      <c r="D2118" s="29"/>
    </row>
    <row r="2119" hidden="1">
      <c r="D2119" s="29"/>
    </row>
    <row r="2120" hidden="1">
      <c r="D2120" s="29"/>
    </row>
    <row r="2121" hidden="1">
      <c r="D2121" s="29"/>
    </row>
    <row r="2122" hidden="1">
      <c r="D2122" s="29"/>
    </row>
    <row r="2123" hidden="1">
      <c r="D2123" s="29"/>
    </row>
    <row r="2124" hidden="1">
      <c r="D2124" s="29"/>
    </row>
    <row r="2125" hidden="1">
      <c r="D2125" s="29"/>
    </row>
    <row r="2126" hidden="1">
      <c r="D2126" s="29"/>
    </row>
    <row r="2127" hidden="1">
      <c r="D2127" s="29"/>
    </row>
    <row r="2128" hidden="1">
      <c r="D2128" s="29"/>
    </row>
    <row r="2129" hidden="1">
      <c r="D2129" s="29"/>
    </row>
    <row r="2130" hidden="1">
      <c r="D2130" s="29"/>
    </row>
    <row r="2131" hidden="1">
      <c r="D2131" s="29"/>
    </row>
    <row r="2132" hidden="1">
      <c r="D2132" s="29"/>
    </row>
    <row r="2133" hidden="1">
      <c r="D2133" s="29"/>
    </row>
    <row r="2134" hidden="1">
      <c r="D2134" s="29"/>
    </row>
    <row r="2135" hidden="1">
      <c r="D2135" s="29"/>
    </row>
    <row r="2136" hidden="1">
      <c r="D2136" s="29"/>
    </row>
    <row r="2137" hidden="1">
      <c r="D2137" s="29"/>
    </row>
    <row r="2138" hidden="1">
      <c r="D2138" s="29"/>
    </row>
    <row r="2139" hidden="1">
      <c r="D2139" s="29"/>
    </row>
    <row r="2140" hidden="1">
      <c r="D2140" s="29"/>
    </row>
    <row r="2141" hidden="1">
      <c r="D2141" s="29"/>
    </row>
    <row r="2142" hidden="1">
      <c r="D2142" s="29"/>
    </row>
    <row r="2143" hidden="1">
      <c r="D2143" s="29"/>
    </row>
    <row r="2144" hidden="1">
      <c r="D2144" s="29"/>
    </row>
    <row r="2145" hidden="1">
      <c r="D2145" s="29"/>
    </row>
    <row r="2146" hidden="1">
      <c r="D2146" s="29"/>
    </row>
    <row r="2147" hidden="1">
      <c r="D2147" s="29"/>
    </row>
    <row r="2148" hidden="1">
      <c r="D2148" s="29"/>
    </row>
    <row r="2149" hidden="1">
      <c r="D2149" s="29"/>
    </row>
    <row r="2150" hidden="1">
      <c r="D2150" s="29"/>
    </row>
    <row r="2151" hidden="1">
      <c r="D2151" s="29"/>
    </row>
    <row r="2152" hidden="1">
      <c r="D2152" s="29"/>
    </row>
    <row r="2153" hidden="1">
      <c r="D2153" s="29"/>
    </row>
    <row r="2154" hidden="1">
      <c r="D2154" s="29"/>
    </row>
    <row r="2155" hidden="1">
      <c r="D2155" s="29"/>
    </row>
    <row r="2156" hidden="1">
      <c r="D2156" s="29"/>
    </row>
    <row r="2157" hidden="1">
      <c r="D2157" s="29"/>
    </row>
    <row r="2158" hidden="1">
      <c r="D2158" s="29"/>
    </row>
    <row r="2159" hidden="1">
      <c r="D2159" s="29"/>
    </row>
    <row r="2160" hidden="1">
      <c r="D2160" s="29"/>
    </row>
    <row r="2161" hidden="1">
      <c r="D2161" s="29"/>
    </row>
    <row r="2162" hidden="1">
      <c r="D2162" s="29"/>
    </row>
    <row r="2163" hidden="1">
      <c r="D2163" s="29"/>
    </row>
    <row r="2164" hidden="1">
      <c r="D2164" s="29"/>
    </row>
    <row r="2165" hidden="1">
      <c r="D2165" s="29"/>
    </row>
    <row r="2166" hidden="1">
      <c r="D2166" s="29"/>
    </row>
    <row r="2167" hidden="1">
      <c r="D2167" s="29"/>
    </row>
    <row r="2168" hidden="1">
      <c r="D2168" s="29"/>
    </row>
    <row r="2169" hidden="1">
      <c r="D2169" s="29"/>
    </row>
    <row r="2170" hidden="1">
      <c r="D2170" s="29"/>
    </row>
    <row r="2171" hidden="1">
      <c r="D2171" s="29"/>
    </row>
    <row r="2172" hidden="1">
      <c r="D2172" s="29"/>
    </row>
    <row r="2173" hidden="1">
      <c r="D2173" s="29"/>
    </row>
    <row r="2174" hidden="1">
      <c r="D2174" s="29"/>
    </row>
    <row r="2175" hidden="1">
      <c r="D2175" s="29"/>
    </row>
    <row r="2176" hidden="1">
      <c r="D2176" s="29"/>
    </row>
    <row r="2177" hidden="1">
      <c r="D2177" s="29"/>
    </row>
    <row r="2178" hidden="1">
      <c r="D2178" s="29"/>
    </row>
    <row r="2179" hidden="1">
      <c r="D2179" s="29"/>
    </row>
    <row r="2180" hidden="1">
      <c r="D2180" s="29"/>
    </row>
    <row r="2181" hidden="1">
      <c r="D2181" s="29"/>
    </row>
    <row r="2182" hidden="1">
      <c r="D2182" s="29"/>
    </row>
    <row r="2183" hidden="1">
      <c r="D2183" s="29"/>
    </row>
    <row r="2184" hidden="1">
      <c r="D2184" s="29"/>
    </row>
    <row r="2185" hidden="1">
      <c r="D2185" s="29"/>
    </row>
    <row r="2186" hidden="1">
      <c r="D2186" s="29"/>
    </row>
    <row r="2187" hidden="1">
      <c r="D2187" s="29"/>
    </row>
    <row r="2188" hidden="1">
      <c r="D2188" s="29"/>
    </row>
    <row r="2189" hidden="1">
      <c r="D2189" s="29"/>
    </row>
    <row r="2190" hidden="1">
      <c r="D2190" s="29"/>
    </row>
    <row r="2191" hidden="1">
      <c r="D2191" s="29"/>
    </row>
    <row r="2192" hidden="1">
      <c r="D2192" s="29"/>
    </row>
    <row r="2193" hidden="1">
      <c r="D2193" s="29"/>
    </row>
    <row r="2194" hidden="1">
      <c r="D2194" s="29"/>
    </row>
    <row r="2195" hidden="1">
      <c r="D2195" s="29"/>
    </row>
    <row r="2196" hidden="1">
      <c r="D2196" s="29"/>
    </row>
    <row r="2197" hidden="1">
      <c r="D2197" s="29"/>
    </row>
    <row r="2198" hidden="1">
      <c r="D2198" s="29"/>
    </row>
    <row r="2199" hidden="1">
      <c r="D2199" s="29"/>
    </row>
    <row r="2200" hidden="1">
      <c r="D2200" s="29"/>
    </row>
    <row r="2201" hidden="1">
      <c r="D2201" s="29"/>
    </row>
    <row r="2202" hidden="1">
      <c r="D2202" s="29"/>
    </row>
    <row r="2203" hidden="1">
      <c r="D2203" s="29"/>
    </row>
    <row r="2204" hidden="1">
      <c r="D2204" s="29"/>
    </row>
    <row r="2205" hidden="1">
      <c r="D2205" s="29"/>
    </row>
    <row r="2206" hidden="1">
      <c r="D2206" s="29"/>
    </row>
    <row r="2207" hidden="1">
      <c r="D2207" s="29"/>
    </row>
    <row r="2208" hidden="1">
      <c r="D2208" s="29"/>
    </row>
    <row r="2209" hidden="1">
      <c r="D2209" s="29"/>
    </row>
    <row r="2210" hidden="1">
      <c r="D2210" s="29"/>
    </row>
    <row r="2211" hidden="1">
      <c r="D2211" s="29"/>
    </row>
    <row r="2212" hidden="1">
      <c r="D2212" s="29"/>
    </row>
    <row r="2213" hidden="1">
      <c r="D2213" s="29"/>
    </row>
    <row r="2214" hidden="1">
      <c r="D2214" s="29"/>
    </row>
    <row r="2215" hidden="1">
      <c r="D2215" s="29"/>
    </row>
    <row r="2216" hidden="1">
      <c r="D2216" s="29"/>
    </row>
    <row r="2217" hidden="1">
      <c r="D2217" s="29"/>
    </row>
    <row r="2218" hidden="1">
      <c r="D2218" s="29"/>
    </row>
    <row r="2219" hidden="1">
      <c r="D2219" s="29"/>
    </row>
    <row r="2220" hidden="1">
      <c r="D2220" s="29"/>
    </row>
    <row r="2221" hidden="1">
      <c r="D2221" s="29"/>
    </row>
    <row r="2222" hidden="1">
      <c r="D2222" s="29"/>
    </row>
    <row r="2223" hidden="1">
      <c r="D2223" s="29"/>
    </row>
    <row r="2224" hidden="1">
      <c r="D2224" s="29"/>
    </row>
    <row r="2225" hidden="1">
      <c r="D2225" s="29"/>
    </row>
    <row r="2226" hidden="1">
      <c r="D2226" s="29"/>
    </row>
    <row r="2227" hidden="1">
      <c r="D2227" s="29"/>
    </row>
    <row r="2228" hidden="1">
      <c r="D2228" s="29"/>
    </row>
    <row r="2229" hidden="1">
      <c r="D2229" s="29"/>
    </row>
    <row r="2230" hidden="1">
      <c r="D2230" s="29"/>
    </row>
    <row r="2231" hidden="1">
      <c r="D2231" s="29"/>
    </row>
    <row r="2232" hidden="1">
      <c r="D2232" s="29"/>
    </row>
    <row r="2233" hidden="1">
      <c r="D2233" s="29"/>
    </row>
    <row r="2234" hidden="1">
      <c r="D2234" s="29"/>
    </row>
    <row r="2235" hidden="1">
      <c r="D2235" s="29"/>
    </row>
    <row r="2236" hidden="1">
      <c r="D2236" s="29"/>
    </row>
    <row r="2237" hidden="1">
      <c r="D2237" s="29"/>
    </row>
    <row r="2238" hidden="1">
      <c r="D2238" s="29"/>
    </row>
    <row r="2239" hidden="1">
      <c r="D2239" s="29"/>
    </row>
    <row r="2240" hidden="1">
      <c r="D2240" s="29"/>
    </row>
    <row r="2241" hidden="1">
      <c r="D2241" s="29"/>
    </row>
    <row r="2242" hidden="1">
      <c r="D2242" s="29"/>
    </row>
    <row r="2243" hidden="1">
      <c r="D2243" s="29"/>
    </row>
    <row r="2244" hidden="1">
      <c r="D2244" s="29"/>
    </row>
    <row r="2245" hidden="1">
      <c r="D2245" s="29"/>
    </row>
    <row r="2246" hidden="1">
      <c r="D2246" s="29"/>
    </row>
    <row r="2247" hidden="1">
      <c r="D2247" s="29"/>
    </row>
    <row r="2248" hidden="1">
      <c r="D2248" s="29"/>
    </row>
    <row r="2249" hidden="1">
      <c r="D2249" s="29"/>
    </row>
    <row r="2250" hidden="1">
      <c r="D2250" s="29"/>
    </row>
    <row r="2251" hidden="1">
      <c r="D2251" s="29"/>
    </row>
    <row r="2252" hidden="1">
      <c r="D2252" s="29"/>
    </row>
    <row r="2253" hidden="1">
      <c r="D2253" s="29"/>
    </row>
    <row r="2254" hidden="1">
      <c r="D2254" s="29"/>
    </row>
    <row r="2255" hidden="1">
      <c r="D2255" s="29"/>
    </row>
    <row r="2256" hidden="1">
      <c r="D2256" s="29"/>
    </row>
    <row r="2257" hidden="1">
      <c r="D2257" s="29"/>
    </row>
    <row r="2258" hidden="1">
      <c r="D2258" s="29"/>
    </row>
    <row r="2259" hidden="1">
      <c r="D2259" s="29"/>
    </row>
    <row r="2260" hidden="1">
      <c r="D2260" s="29"/>
    </row>
    <row r="2261" hidden="1">
      <c r="D2261" s="29"/>
    </row>
    <row r="2262" hidden="1">
      <c r="D2262" s="29"/>
    </row>
    <row r="2263" hidden="1">
      <c r="D2263" s="29"/>
    </row>
    <row r="2264" hidden="1">
      <c r="D2264" s="29"/>
    </row>
    <row r="2265" hidden="1">
      <c r="D2265" s="29"/>
    </row>
    <row r="2266" hidden="1">
      <c r="D2266" s="29"/>
    </row>
    <row r="2267" hidden="1">
      <c r="D2267" s="29"/>
    </row>
    <row r="2268" hidden="1">
      <c r="D2268" s="29"/>
    </row>
    <row r="2269" hidden="1">
      <c r="D2269" s="29"/>
    </row>
    <row r="2270" hidden="1">
      <c r="D2270" s="29"/>
    </row>
    <row r="2271" hidden="1">
      <c r="D2271" s="29"/>
    </row>
    <row r="2272" hidden="1">
      <c r="D2272" s="29"/>
    </row>
    <row r="2273" hidden="1">
      <c r="D2273" s="29"/>
    </row>
    <row r="2274" hidden="1">
      <c r="D2274" s="29"/>
    </row>
    <row r="2275" hidden="1">
      <c r="D2275" s="29"/>
    </row>
    <row r="2276" hidden="1">
      <c r="D2276" s="29"/>
    </row>
    <row r="2277" hidden="1">
      <c r="D2277" s="29"/>
    </row>
    <row r="2278" hidden="1">
      <c r="D2278" s="29"/>
    </row>
    <row r="2279" hidden="1">
      <c r="D2279" s="29"/>
    </row>
    <row r="2280" hidden="1">
      <c r="D2280" s="29"/>
    </row>
    <row r="2281" hidden="1">
      <c r="D2281" s="29"/>
    </row>
    <row r="2282" hidden="1">
      <c r="D2282" s="29"/>
    </row>
    <row r="2283" hidden="1">
      <c r="D2283" s="29"/>
    </row>
    <row r="2284" hidden="1">
      <c r="D2284" s="29"/>
    </row>
    <row r="2285" hidden="1">
      <c r="D2285" s="29"/>
    </row>
    <row r="2286" hidden="1">
      <c r="D2286" s="29"/>
    </row>
    <row r="2287" hidden="1">
      <c r="D2287" s="29"/>
    </row>
    <row r="2288" hidden="1">
      <c r="D2288" s="29"/>
    </row>
    <row r="2289" hidden="1">
      <c r="D2289" s="29"/>
    </row>
    <row r="2290" hidden="1">
      <c r="D2290" s="29"/>
    </row>
    <row r="2291" hidden="1">
      <c r="D2291" s="29"/>
    </row>
    <row r="2292" hidden="1">
      <c r="D2292" s="29"/>
    </row>
    <row r="2293" hidden="1">
      <c r="D2293" s="29"/>
    </row>
    <row r="2294" hidden="1">
      <c r="D2294" s="29"/>
    </row>
    <row r="2295" hidden="1">
      <c r="D2295" s="29"/>
    </row>
    <row r="2296" hidden="1">
      <c r="D2296" s="29"/>
    </row>
    <row r="2297" hidden="1">
      <c r="D2297" s="29"/>
    </row>
    <row r="2298" hidden="1">
      <c r="D2298" s="29"/>
    </row>
    <row r="2299" hidden="1">
      <c r="D2299" s="29"/>
    </row>
    <row r="2300" hidden="1">
      <c r="D2300" s="29"/>
    </row>
    <row r="2301" hidden="1">
      <c r="D2301" s="29"/>
    </row>
    <row r="2302" hidden="1">
      <c r="D2302" s="29"/>
    </row>
    <row r="2303" hidden="1">
      <c r="D2303" s="29"/>
    </row>
    <row r="2304" hidden="1">
      <c r="D2304" s="29"/>
    </row>
    <row r="2305" hidden="1">
      <c r="D2305" s="29"/>
    </row>
    <row r="2306" hidden="1">
      <c r="D2306" s="29"/>
    </row>
    <row r="2307" hidden="1">
      <c r="D2307" s="29"/>
    </row>
    <row r="2308" hidden="1">
      <c r="D2308" s="29"/>
    </row>
    <row r="2309" hidden="1">
      <c r="D2309" s="29"/>
    </row>
    <row r="2310" hidden="1">
      <c r="D2310" s="29"/>
    </row>
    <row r="2311" hidden="1">
      <c r="D2311" s="29"/>
    </row>
    <row r="2312" hidden="1">
      <c r="D2312" s="29"/>
    </row>
    <row r="2313" hidden="1">
      <c r="D2313" s="29"/>
    </row>
    <row r="2314" hidden="1">
      <c r="D2314" s="29"/>
    </row>
    <row r="2315" hidden="1">
      <c r="D2315" s="29"/>
    </row>
    <row r="2316" hidden="1">
      <c r="D2316" s="29"/>
    </row>
    <row r="2317" hidden="1">
      <c r="D2317" s="29"/>
    </row>
    <row r="2318" hidden="1">
      <c r="D2318" s="29"/>
    </row>
    <row r="2319" hidden="1">
      <c r="D2319" s="29"/>
    </row>
    <row r="2320" hidden="1">
      <c r="D2320" s="29"/>
    </row>
    <row r="2321" hidden="1">
      <c r="D2321" s="29"/>
    </row>
    <row r="2322" hidden="1">
      <c r="D2322" s="29"/>
    </row>
    <row r="2323" hidden="1">
      <c r="D2323" s="29"/>
    </row>
    <row r="2324" hidden="1">
      <c r="D2324" s="29"/>
    </row>
    <row r="2325" hidden="1">
      <c r="D2325" s="29"/>
    </row>
    <row r="2326" hidden="1">
      <c r="D2326" s="29"/>
    </row>
    <row r="2327" hidden="1">
      <c r="D2327" s="29"/>
    </row>
    <row r="2328" hidden="1">
      <c r="D2328" s="29"/>
    </row>
    <row r="2329" hidden="1">
      <c r="D2329" s="29"/>
    </row>
    <row r="2330" hidden="1">
      <c r="D2330" s="29"/>
    </row>
    <row r="2331" hidden="1">
      <c r="D2331" s="29"/>
    </row>
    <row r="2332" hidden="1">
      <c r="D2332" s="29"/>
    </row>
    <row r="2333" hidden="1">
      <c r="D2333" s="29"/>
    </row>
    <row r="2334" hidden="1">
      <c r="D2334" s="29"/>
    </row>
    <row r="2335" hidden="1">
      <c r="D2335" s="29"/>
    </row>
    <row r="2336" hidden="1">
      <c r="D2336" s="29"/>
    </row>
    <row r="2337" hidden="1">
      <c r="D2337" s="29"/>
    </row>
    <row r="2338" hidden="1">
      <c r="D2338" s="29"/>
    </row>
    <row r="2339" hidden="1">
      <c r="D2339" s="29"/>
    </row>
    <row r="2340" hidden="1">
      <c r="D2340" s="29"/>
    </row>
    <row r="2341" hidden="1">
      <c r="D2341" s="29"/>
    </row>
    <row r="2342" hidden="1">
      <c r="D2342" s="29"/>
    </row>
    <row r="2343" hidden="1">
      <c r="D2343" s="29"/>
    </row>
    <row r="2344" hidden="1">
      <c r="D2344" s="29"/>
    </row>
    <row r="2345" hidden="1">
      <c r="D2345" s="29"/>
    </row>
    <row r="2346" hidden="1">
      <c r="D2346" s="29"/>
    </row>
    <row r="2347" hidden="1">
      <c r="D2347" s="29"/>
    </row>
    <row r="2348" hidden="1">
      <c r="D2348" s="29"/>
    </row>
    <row r="2349" hidden="1">
      <c r="D2349" s="29"/>
    </row>
    <row r="2350" hidden="1">
      <c r="D2350" s="29"/>
    </row>
    <row r="2351" hidden="1">
      <c r="D2351" s="29"/>
    </row>
    <row r="2352" hidden="1">
      <c r="D2352" s="29"/>
    </row>
    <row r="2353" hidden="1">
      <c r="D2353" s="29"/>
    </row>
    <row r="2354" hidden="1">
      <c r="D2354" s="29"/>
    </row>
    <row r="2355" hidden="1">
      <c r="D2355" s="29"/>
    </row>
    <row r="2356" hidden="1">
      <c r="D2356" s="29"/>
    </row>
    <row r="2357" hidden="1">
      <c r="D2357" s="29"/>
    </row>
    <row r="2358" hidden="1">
      <c r="D2358" s="29"/>
    </row>
    <row r="2359" hidden="1">
      <c r="D2359" s="29"/>
    </row>
    <row r="2360" hidden="1">
      <c r="D2360" s="29"/>
    </row>
    <row r="2361" hidden="1">
      <c r="D2361" s="29"/>
    </row>
    <row r="2362" hidden="1">
      <c r="D2362" s="29"/>
    </row>
    <row r="2363" hidden="1">
      <c r="D2363" s="29"/>
    </row>
    <row r="2364" hidden="1">
      <c r="D2364" s="29"/>
    </row>
    <row r="2365" hidden="1">
      <c r="D2365" s="29"/>
    </row>
    <row r="2366" hidden="1">
      <c r="D2366" s="29"/>
    </row>
    <row r="2367" hidden="1">
      <c r="D2367" s="29"/>
    </row>
    <row r="2368" hidden="1">
      <c r="D2368" s="29"/>
    </row>
    <row r="2369" hidden="1">
      <c r="D2369" s="29"/>
    </row>
    <row r="2370" hidden="1">
      <c r="D2370" s="29"/>
    </row>
    <row r="2371" hidden="1">
      <c r="D2371" s="29"/>
    </row>
    <row r="2372" hidden="1">
      <c r="D2372" s="29"/>
    </row>
    <row r="2373" hidden="1">
      <c r="D2373" s="29"/>
    </row>
    <row r="2374" hidden="1">
      <c r="D2374" s="29"/>
    </row>
    <row r="2375" hidden="1">
      <c r="D2375" s="29"/>
    </row>
    <row r="2376" hidden="1">
      <c r="D2376" s="29"/>
    </row>
    <row r="2377" hidden="1">
      <c r="D2377" s="29"/>
    </row>
    <row r="2378" hidden="1">
      <c r="D2378" s="29"/>
    </row>
    <row r="2379" hidden="1">
      <c r="D2379" s="29"/>
    </row>
    <row r="2380" hidden="1">
      <c r="D2380" s="29"/>
    </row>
    <row r="2381" hidden="1">
      <c r="D2381" s="29"/>
    </row>
    <row r="2382" hidden="1">
      <c r="D2382" s="29"/>
    </row>
    <row r="2383" hidden="1">
      <c r="D2383" s="29"/>
    </row>
    <row r="2384" hidden="1">
      <c r="D2384" s="29"/>
    </row>
    <row r="2385" hidden="1">
      <c r="D2385" s="29"/>
    </row>
    <row r="2386" hidden="1">
      <c r="D2386" s="29"/>
    </row>
    <row r="2387" hidden="1">
      <c r="D2387" s="29"/>
    </row>
    <row r="2388" hidden="1">
      <c r="D2388" s="29"/>
    </row>
    <row r="2389" hidden="1">
      <c r="D2389" s="29"/>
    </row>
    <row r="2390" hidden="1">
      <c r="D2390" s="29"/>
    </row>
    <row r="2391" hidden="1">
      <c r="D2391" s="29"/>
    </row>
    <row r="2392" hidden="1">
      <c r="D2392" s="29"/>
    </row>
    <row r="2393" hidden="1">
      <c r="D2393" s="29"/>
    </row>
    <row r="2394" hidden="1">
      <c r="D2394" s="29"/>
    </row>
    <row r="2395" hidden="1">
      <c r="D2395" s="29"/>
    </row>
    <row r="2396" hidden="1">
      <c r="D2396" s="29"/>
    </row>
    <row r="2397" hidden="1">
      <c r="D2397" s="29"/>
    </row>
    <row r="2398" hidden="1">
      <c r="D2398" s="29"/>
    </row>
    <row r="2399" hidden="1">
      <c r="D2399" s="29"/>
    </row>
    <row r="2400" hidden="1">
      <c r="D2400" s="29"/>
    </row>
    <row r="2401" hidden="1">
      <c r="D2401" s="29"/>
    </row>
    <row r="2402" hidden="1">
      <c r="D2402" s="29"/>
    </row>
    <row r="2403" hidden="1">
      <c r="D2403" s="29"/>
    </row>
    <row r="2404" hidden="1">
      <c r="D2404" s="29"/>
    </row>
    <row r="2405" hidden="1">
      <c r="D2405" s="29"/>
    </row>
    <row r="2406" hidden="1">
      <c r="D2406" s="29"/>
    </row>
    <row r="2407" hidden="1">
      <c r="D2407" s="29"/>
    </row>
    <row r="2408" hidden="1">
      <c r="D2408" s="29"/>
    </row>
    <row r="2409" hidden="1">
      <c r="D2409" s="29"/>
    </row>
    <row r="2410" hidden="1">
      <c r="D2410" s="29"/>
    </row>
    <row r="2411" hidden="1">
      <c r="D2411" s="29"/>
    </row>
    <row r="2412" hidden="1">
      <c r="D2412" s="29"/>
    </row>
    <row r="2413" hidden="1">
      <c r="D2413" s="29"/>
    </row>
    <row r="2414" hidden="1">
      <c r="D2414" s="29"/>
    </row>
    <row r="2415" hidden="1">
      <c r="D2415" s="29"/>
    </row>
    <row r="2416" hidden="1">
      <c r="D2416" s="29"/>
    </row>
    <row r="2417" hidden="1">
      <c r="D2417" s="29"/>
    </row>
    <row r="2418" hidden="1">
      <c r="D2418" s="29"/>
    </row>
    <row r="2419" hidden="1">
      <c r="D2419" s="29"/>
    </row>
    <row r="2420" hidden="1">
      <c r="D2420" s="29"/>
    </row>
    <row r="2421" hidden="1">
      <c r="D2421" s="29"/>
    </row>
    <row r="2422" hidden="1">
      <c r="D2422" s="29"/>
    </row>
    <row r="2423" hidden="1">
      <c r="D2423" s="29"/>
    </row>
    <row r="2424" hidden="1">
      <c r="D2424" s="29"/>
    </row>
    <row r="2425" hidden="1">
      <c r="D2425" s="29"/>
    </row>
    <row r="2426" hidden="1">
      <c r="D2426" s="29"/>
    </row>
    <row r="2427" hidden="1">
      <c r="D2427" s="29"/>
    </row>
    <row r="2428" hidden="1">
      <c r="D2428" s="29"/>
    </row>
    <row r="2429" hidden="1">
      <c r="D2429" s="29"/>
    </row>
    <row r="2430" hidden="1">
      <c r="D2430" s="29"/>
    </row>
    <row r="2431" hidden="1">
      <c r="D2431" s="29"/>
    </row>
    <row r="2432" hidden="1">
      <c r="D2432" s="29"/>
    </row>
    <row r="2433" hidden="1">
      <c r="D2433" s="29"/>
    </row>
    <row r="2434" hidden="1">
      <c r="D2434" s="29"/>
    </row>
    <row r="2435" hidden="1">
      <c r="D2435" s="29"/>
    </row>
    <row r="2436" hidden="1">
      <c r="D2436" s="29"/>
    </row>
    <row r="2437" hidden="1">
      <c r="D2437" s="29"/>
    </row>
    <row r="2438" hidden="1">
      <c r="D2438" s="29"/>
    </row>
    <row r="2439" hidden="1">
      <c r="D2439" s="29"/>
    </row>
    <row r="2440" hidden="1">
      <c r="D2440" s="29"/>
    </row>
    <row r="2441" hidden="1">
      <c r="D2441" s="29"/>
    </row>
    <row r="2442" hidden="1">
      <c r="D2442" s="29"/>
    </row>
    <row r="2443" hidden="1">
      <c r="D2443" s="29"/>
    </row>
    <row r="2444" hidden="1">
      <c r="D2444" s="29"/>
    </row>
    <row r="2445" hidden="1">
      <c r="D2445" s="29"/>
    </row>
    <row r="2446" hidden="1">
      <c r="D2446" s="29"/>
    </row>
    <row r="2447" hidden="1">
      <c r="D2447" s="29"/>
    </row>
    <row r="2448" hidden="1">
      <c r="D2448" s="29"/>
    </row>
    <row r="2449" hidden="1">
      <c r="D2449" s="29"/>
    </row>
    <row r="2450" hidden="1">
      <c r="D2450" s="29"/>
    </row>
    <row r="2451" hidden="1">
      <c r="D2451" s="29"/>
    </row>
    <row r="2452" hidden="1">
      <c r="D2452" s="29"/>
    </row>
    <row r="2453" hidden="1">
      <c r="D2453" s="29"/>
    </row>
    <row r="2454" hidden="1">
      <c r="D2454" s="29"/>
    </row>
    <row r="2455" hidden="1">
      <c r="D2455" s="29"/>
    </row>
    <row r="2456" hidden="1">
      <c r="D2456" s="29"/>
    </row>
    <row r="2457" hidden="1">
      <c r="D2457" s="29"/>
    </row>
    <row r="2458" hidden="1">
      <c r="D2458" s="29"/>
    </row>
    <row r="2459" hidden="1">
      <c r="D2459" s="29"/>
    </row>
    <row r="2460" hidden="1">
      <c r="D2460" s="29"/>
    </row>
    <row r="2461" hidden="1">
      <c r="D2461" s="29"/>
    </row>
    <row r="2462" hidden="1">
      <c r="D2462" s="29"/>
    </row>
    <row r="2463" hidden="1">
      <c r="D2463" s="29"/>
    </row>
    <row r="2464" hidden="1">
      <c r="D2464" s="29"/>
    </row>
    <row r="2465" hidden="1">
      <c r="D2465" s="29"/>
    </row>
    <row r="2466" hidden="1">
      <c r="D2466" s="29"/>
    </row>
    <row r="2467" hidden="1">
      <c r="D2467" s="29"/>
    </row>
    <row r="2468" hidden="1">
      <c r="D2468" s="29"/>
    </row>
    <row r="2469" hidden="1">
      <c r="D2469" s="29"/>
    </row>
    <row r="2470" hidden="1">
      <c r="D2470" s="29"/>
    </row>
    <row r="2471" hidden="1">
      <c r="D2471" s="29"/>
    </row>
    <row r="2472" hidden="1">
      <c r="D2472" s="29"/>
    </row>
    <row r="2473" hidden="1">
      <c r="D2473" s="29"/>
    </row>
    <row r="2474" hidden="1">
      <c r="D2474" s="29"/>
    </row>
    <row r="2475" hidden="1">
      <c r="D2475" s="29"/>
    </row>
    <row r="2476" hidden="1">
      <c r="D2476" s="29"/>
    </row>
    <row r="2477" hidden="1">
      <c r="D2477" s="29"/>
    </row>
    <row r="2478" hidden="1">
      <c r="D2478" s="29"/>
    </row>
    <row r="2479" hidden="1">
      <c r="D2479" s="29"/>
    </row>
    <row r="2480" hidden="1">
      <c r="D2480" s="29"/>
    </row>
    <row r="2481" hidden="1">
      <c r="D2481" s="29"/>
    </row>
    <row r="2482" hidden="1">
      <c r="D2482" s="29"/>
    </row>
    <row r="2483" hidden="1">
      <c r="D2483" s="29"/>
    </row>
    <row r="2484" hidden="1">
      <c r="D2484" s="29"/>
    </row>
    <row r="2485" hidden="1">
      <c r="D2485" s="29"/>
    </row>
    <row r="2486" hidden="1">
      <c r="D2486" s="29"/>
    </row>
    <row r="2487" hidden="1">
      <c r="D2487" s="29"/>
    </row>
    <row r="2488" hidden="1">
      <c r="D2488" s="29"/>
    </row>
    <row r="2489" hidden="1">
      <c r="D2489" s="29"/>
    </row>
    <row r="2490" hidden="1">
      <c r="D2490" s="29"/>
    </row>
    <row r="2491" hidden="1">
      <c r="D2491" s="29"/>
    </row>
    <row r="2492" hidden="1">
      <c r="D2492" s="29"/>
    </row>
    <row r="2493" hidden="1">
      <c r="D2493" s="29"/>
    </row>
    <row r="2494" hidden="1">
      <c r="D2494" s="29"/>
    </row>
    <row r="2495" hidden="1">
      <c r="D2495" s="29"/>
    </row>
    <row r="2496" hidden="1">
      <c r="D2496" s="29"/>
    </row>
    <row r="2497" hidden="1">
      <c r="D2497" s="29"/>
    </row>
    <row r="2498" hidden="1">
      <c r="D2498" s="29"/>
    </row>
    <row r="2499" hidden="1">
      <c r="D2499" s="29"/>
    </row>
    <row r="2500" hidden="1">
      <c r="D2500" s="29"/>
    </row>
    <row r="2501" hidden="1">
      <c r="D2501" s="29"/>
    </row>
    <row r="2502" hidden="1">
      <c r="D2502" s="29"/>
    </row>
    <row r="2503" hidden="1">
      <c r="D2503" s="29"/>
    </row>
    <row r="2504" hidden="1">
      <c r="D2504" s="29"/>
    </row>
    <row r="2505" hidden="1">
      <c r="D2505" s="29"/>
    </row>
    <row r="2506" hidden="1">
      <c r="D2506" s="29"/>
    </row>
    <row r="2507" hidden="1">
      <c r="D2507" s="29"/>
    </row>
    <row r="2508" hidden="1">
      <c r="D2508" s="29"/>
    </row>
    <row r="2509" hidden="1">
      <c r="D2509" s="29"/>
    </row>
    <row r="2510" hidden="1">
      <c r="D2510" s="29"/>
    </row>
    <row r="2511" hidden="1">
      <c r="D2511" s="29"/>
    </row>
    <row r="2512" hidden="1">
      <c r="D2512" s="29"/>
    </row>
    <row r="2513" hidden="1">
      <c r="D2513" s="29"/>
    </row>
    <row r="2514" hidden="1">
      <c r="D2514" s="29"/>
    </row>
    <row r="2515" hidden="1">
      <c r="D2515" s="29"/>
    </row>
    <row r="2516" hidden="1">
      <c r="D2516" s="29"/>
    </row>
    <row r="2517" hidden="1">
      <c r="D2517" s="29"/>
    </row>
    <row r="2518" hidden="1">
      <c r="D2518" s="29"/>
    </row>
    <row r="2519" hidden="1">
      <c r="D2519" s="29"/>
    </row>
    <row r="2520" hidden="1">
      <c r="D2520" s="29"/>
    </row>
    <row r="2521" hidden="1">
      <c r="D2521" s="29"/>
    </row>
    <row r="2522" hidden="1">
      <c r="D2522" s="29"/>
    </row>
    <row r="2523" hidden="1">
      <c r="D2523" s="29"/>
    </row>
    <row r="2524" hidden="1">
      <c r="D2524" s="29"/>
    </row>
    <row r="2525" hidden="1">
      <c r="D2525" s="29"/>
    </row>
    <row r="2526" hidden="1">
      <c r="D2526" s="29"/>
    </row>
    <row r="2527" hidden="1">
      <c r="D2527" s="29"/>
    </row>
    <row r="2528" hidden="1">
      <c r="D2528" s="29"/>
    </row>
    <row r="2529" hidden="1">
      <c r="D2529" s="29"/>
    </row>
    <row r="2530" hidden="1">
      <c r="D2530" s="29"/>
    </row>
    <row r="2531" hidden="1">
      <c r="D2531" s="29"/>
    </row>
    <row r="2532" hidden="1">
      <c r="D2532" s="29"/>
    </row>
    <row r="2533" hidden="1">
      <c r="D2533" s="29"/>
    </row>
    <row r="2534" hidden="1">
      <c r="D2534" s="29"/>
    </row>
    <row r="2535" hidden="1">
      <c r="D2535" s="29"/>
    </row>
    <row r="2536" hidden="1">
      <c r="D2536" s="29"/>
    </row>
    <row r="2537" hidden="1">
      <c r="D2537" s="29"/>
    </row>
    <row r="2538" hidden="1">
      <c r="D2538" s="29"/>
    </row>
    <row r="2539" hidden="1">
      <c r="D2539" s="29"/>
    </row>
    <row r="2540" hidden="1">
      <c r="D2540" s="29"/>
    </row>
    <row r="2541" hidden="1">
      <c r="D2541" s="29"/>
    </row>
    <row r="2542" hidden="1">
      <c r="D2542" s="29"/>
    </row>
    <row r="2543" hidden="1">
      <c r="D2543" s="29"/>
    </row>
    <row r="2544" hidden="1">
      <c r="D2544" s="29"/>
    </row>
    <row r="2545" hidden="1">
      <c r="D2545" s="29"/>
    </row>
    <row r="2546" hidden="1">
      <c r="D2546" s="29"/>
    </row>
    <row r="2547" hidden="1">
      <c r="D2547" s="29"/>
    </row>
    <row r="2548" hidden="1">
      <c r="D2548" s="29"/>
    </row>
    <row r="2549" hidden="1">
      <c r="D2549" s="29"/>
    </row>
    <row r="2550" hidden="1">
      <c r="D2550" s="29"/>
    </row>
    <row r="2551" hidden="1">
      <c r="D2551" s="29"/>
    </row>
    <row r="2552" hidden="1">
      <c r="D2552" s="29"/>
    </row>
    <row r="2553" hidden="1">
      <c r="D2553" s="29"/>
    </row>
    <row r="2554" hidden="1">
      <c r="D2554" s="29"/>
    </row>
    <row r="2555" hidden="1">
      <c r="D2555" s="29"/>
    </row>
    <row r="2556" hidden="1">
      <c r="D2556" s="29"/>
    </row>
    <row r="2557" hidden="1">
      <c r="D2557" s="29"/>
    </row>
    <row r="2558" hidden="1">
      <c r="D2558" s="29"/>
    </row>
    <row r="2559" hidden="1">
      <c r="D2559" s="29"/>
    </row>
    <row r="2560" hidden="1">
      <c r="D2560" s="29"/>
    </row>
    <row r="2561" hidden="1">
      <c r="D2561" s="29"/>
    </row>
    <row r="2562" hidden="1">
      <c r="D2562" s="29"/>
    </row>
    <row r="2563" hidden="1">
      <c r="D2563" s="29"/>
    </row>
    <row r="2564" hidden="1">
      <c r="D2564" s="29"/>
    </row>
    <row r="2565" hidden="1">
      <c r="D2565" s="29"/>
    </row>
    <row r="2566" hidden="1">
      <c r="D2566" s="29"/>
    </row>
    <row r="2567" hidden="1">
      <c r="D2567" s="29"/>
    </row>
    <row r="2568" hidden="1">
      <c r="D2568" s="29"/>
    </row>
    <row r="2569" hidden="1">
      <c r="D2569" s="29"/>
    </row>
    <row r="2570" hidden="1">
      <c r="D2570" s="29"/>
    </row>
    <row r="2571" hidden="1">
      <c r="D2571" s="29"/>
    </row>
    <row r="2572" hidden="1">
      <c r="D2572" s="29"/>
    </row>
    <row r="2573" hidden="1">
      <c r="D2573" s="29"/>
    </row>
    <row r="2574" hidden="1">
      <c r="D2574" s="29"/>
    </row>
    <row r="2575" hidden="1">
      <c r="D2575" s="29"/>
    </row>
    <row r="2576" hidden="1">
      <c r="D2576" s="29"/>
    </row>
    <row r="2577" hidden="1">
      <c r="D2577" s="29"/>
    </row>
    <row r="2578" hidden="1">
      <c r="D2578" s="29"/>
    </row>
    <row r="2579" hidden="1">
      <c r="D2579" s="29"/>
    </row>
    <row r="2580" hidden="1">
      <c r="D2580" s="29"/>
    </row>
    <row r="2581" hidden="1">
      <c r="D2581" s="29"/>
    </row>
    <row r="2582" hidden="1">
      <c r="D2582" s="29"/>
    </row>
    <row r="2583" hidden="1">
      <c r="D2583" s="29"/>
    </row>
    <row r="2584" hidden="1">
      <c r="D2584" s="29"/>
    </row>
    <row r="2585" hidden="1">
      <c r="D2585" s="29"/>
    </row>
    <row r="2586" hidden="1">
      <c r="D2586" s="29"/>
    </row>
    <row r="2587" hidden="1">
      <c r="D2587" s="29"/>
    </row>
    <row r="2588" hidden="1">
      <c r="D2588" s="29"/>
    </row>
    <row r="2589" hidden="1">
      <c r="D2589" s="29"/>
    </row>
    <row r="2590" hidden="1">
      <c r="D2590" s="29"/>
    </row>
    <row r="2591" hidden="1">
      <c r="D2591" s="29"/>
    </row>
    <row r="2592" hidden="1">
      <c r="D2592" s="29"/>
    </row>
    <row r="2593" hidden="1">
      <c r="D2593" s="29"/>
    </row>
    <row r="2594" hidden="1">
      <c r="D2594" s="29"/>
    </row>
    <row r="2595" hidden="1">
      <c r="D2595" s="29"/>
    </row>
    <row r="2596" hidden="1">
      <c r="D2596" s="29"/>
    </row>
    <row r="2597" hidden="1">
      <c r="D2597" s="29"/>
    </row>
    <row r="2598" hidden="1">
      <c r="D2598" s="29"/>
    </row>
    <row r="2599" hidden="1">
      <c r="D2599" s="29"/>
    </row>
    <row r="2600" hidden="1">
      <c r="D2600" s="29"/>
    </row>
    <row r="2601" hidden="1">
      <c r="D2601" s="29"/>
    </row>
    <row r="2602" hidden="1">
      <c r="D2602" s="29"/>
    </row>
    <row r="2603" hidden="1">
      <c r="D2603" s="29"/>
    </row>
    <row r="2604" hidden="1">
      <c r="D2604" s="29"/>
    </row>
    <row r="2605" hidden="1">
      <c r="D2605" s="29"/>
    </row>
    <row r="2606" hidden="1">
      <c r="D2606" s="29"/>
    </row>
    <row r="2607" hidden="1">
      <c r="D2607" s="29"/>
    </row>
    <row r="2608" hidden="1">
      <c r="D2608" s="29"/>
    </row>
    <row r="2609" hidden="1">
      <c r="D2609" s="29"/>
    </row>
    <row r="2610" hidden="1">
      <c r="D2610" s="29"/>
    </row>
    <row r="2611" hidden="1">
      <c r="D2611" s="29"/>
    </row>
    <row r="2612" hidden="1">
      <c r="D2612" s="29"/>
    </row>
    <row r="2613" hidden="1">
      <c r="D2613" s="29"/>
    </row>
    <row r="2614" hidden="1">
      <c r="D2614" s="29"/>
    </row>
    <row r="2615" hidden="1">
      <c r="D2615" s="29"/>
    </row>
    <row r="2616" hidden="1">
      <c r="D2616" s="29"/>
    </row>
    <row r="2617" hidden="1">
      <c r="D2617" s="29"/>
    </row>
    <row r="2618" hidden="1">
      <c r="D2618" s="29"/>
    </row>
    <row r="2619" hidden="1">
      <c r="D2619" s="29"/>
    </row>
    <row r="2620" hidden="1">
      <c r="D2620" s="29"/>
    </row>
    <row r="2621" hidden="1">
      <c r="D2621" s="29"/>
    </row>
    <row r="2622" hidden="1">
      <c r="D2622" s="29"/>
    </row>
    <row r="2623" hidden="1">
      <c r="D2623" s="29"/>
    </row>
    <row r="2624" hidden="1">
      <c r="D2624" s="29"/>
    </row>
    <row r="2625" hidden="1">
      <c r="D2625" s="29"/>
    </row>
    <row r="2626" hidden="1">
      <c r="D2626" s="29"/>
    </row>
    <row r="2627" hidden="1">
      <c r="D2627" s="29"/>
    </row>
    <row r="2628" hidden="1">
      <c r="D2628" s="29"/>
    </row>
    <row r="2629" hidden="1">
      <c r="D2629" s="29"/>
    </row>
    <row r="2630" hidden="1">
      <c r="D2630" s="29"/>
    </row>
    <row r="2631" hidden="1">
      <c r="D2631" s="29"/>
    </row>
    <row r="2632" hidden="1">
      <c r="D2632" s="29"/>
    </row>
    <row r="2633" hidden="1">
      <c r="D2633" s="29"/>
    </row>
    <row r="2634" hidden="1">
      <c r="D2634" s="29"/>
    </row>
    <row r="2635" hidden="1">
      <c r="D2635" s="29"/>
    </row>
    <row r="2636" hidden="1">
      <c r="D2636" s="29"/>
    </row>
    <row r="2637" hidden="1">
      <c r="D2637" s="29"/>
    </row>
    <row r="2638" hidden="1">
      <c r="D2638" s="29"/>
    </row>
    <row r="2639" hidden="1">
      <c r="D2639" s="29"/>
    </row>
    <row r="2640" hidden="1">
      <c r="D2640" s="29"/>
    </row>
    <row r="2641" hidden="1">
      <c r="D2641" s="29"/>
    </row>
    <row r="2642" hidden="1">
      <c r="D2642" s="29"/>
    </row>
    <row r="2643" hidden="1">
      <c r="D2643" s="29"/>
    </row>
    <row r="2644" hidden="1">
      <c r="D2644" s="29"/>
    </row>
    <row r="2645" hidden="1">
      <c r="D2645" s="29"/>
    </row>
    <row r="2646" hidden="1">
      <c r="D2646" s="29"/>
    </row>
    <row r="2647" hidden="1">
      <c r="D2647" s="29"/>
    </row>
    <row r="2648" hidden="1">
      <c r="D2648" s="29"/>
    </row>
    <row r="2649" hidden="1">
      <c r="D2649" s="29"/>
    </row>
    <row r="2650" hidden="1">
      <c r="D2650" s="29"/>
    </row>
    <row r="2651" hidden="1">
      <c r="D2651" s="29"/>
    </row>
    <row r="2652" hidden="1">
      <c r="D2652" s="29"/>
    </row>
    <row r="2653" hidden="1">
      <c r="D2653" s="29"/>
    </row>
    <row r="2654" hidden="1">
      <c r="D2654" s="29"/>
    </row>
    <row r="2655" hidden="1">
      <c r="D2655" s="29"/>
    </row>
    <row r="2656" hidden="1">
      <c r="D2656" s="29"/>
    </row>
    <row r="2657" hidden="1">
      <c r="D2657" s="29"/>
    </row>
    <row r="2658" hidden="1">
      <c r="D2658" s="29"/>
    </row>
    <row r="2659" hidden="1">
      <c r="D2659" s="29"/>
    </row>
    <row r="2660" hidden="1">
      <c r="D2660" s="29"/>
    </row>
    <row r="2661" hidden="1">
      <c r="D2661" s="29"/>
    </row>
    <row r="2662" hidden="1">
      <c r="D2662" s="29"/>
    </row>
    <row r="2663" hidden="1">
      <c r="D2663" s="29"/>
    </row>
    <row r="2664" hidden="1">
      <c r="D2664" s="29"/>
    </row>
    <row r="2665" hidden="1">
      <c r="D2665" s="29"/>
    </row>
    <row r="2666" hidden="1">
      <c r="D2666" s="29"/>
    </row>
    <row r="2667" hidden="1">
      <c r="D2667" s="29"/>
    </row>
    <row r="2668" hidden="1">
      <c r="D2668" s="29"/>
    </row>
    <row r="2669" hidden="1">
      <c r="D2669" s="29"/>
    </row>
    <row r="2670" hidden="1">
      <c r="D2670" s="29"/>
    </row>
    <row r="2671" hidden="1">
      <c r="D2671" s="29"/>
    </row>
    <row r="2672" hidden="1">
      <c r="D2672" s="29"/>
    </row>
    <row r="2673" hidden="1">
      <c r="D2673" s="29"/>
    </row>
    <row r="2674" hidden="1">
      <c r="D2674" s="29"/>
    </row>
    <row r="2675" hidden="1">
      <c r="D2675" s="29"/>
    </row>
    <row r="2676" hidden="1">
      <c r="D2676" s="29"/>
    </row>
    <row r="2677" hidden="1">
      <c r="D2677" s="29"/>
    </row>
    <row r="2678" hidden="1">
      <c r="D2678" s="29"/>
    </row>
    <row r="2679" hidden="1">
      <c r="D2679" s="29"/>
    </row>
    <row r="2680" hidden="1">
      <c r="D2680" s="29"/>
    </row>
    <row r="2681" hidden="1">
      <c r="D2681" s="29"/>
    </row>
    <row r="2682" hidden="1">
      <c r="D2682" s="29"/>
    </row>
    <row r="2683" hidden="1">
      <c r="D2683" s="29"/>
    </row>
    <row r="2684" hidden="1">
      <c r="D2684" s="29"/>
    </row>
    <row r="2685" hidden="1">
      <c r="D2685" s="29"/>
    </row>
    <row r="2686" hidden="1">
      <c r="D2686" s="29"/>
    </row>
    <row r="2687" hidden="1">
      <c r="D2687" s="29"/>
    </row>
    <row r="2688" hidden="1">
      <c r="D2688" s="29"/>
    </row>
    <row r="2689" hidden="1">
      <c r="D2689" s="29"/>
    </row>
    <row r="2690" hidden="1">
      <c r="D2690" s="29"/>
    </row>
    <row r="2691" hidden="1">
      <c r="D2691" s="29"/>
    </row>
    <row r="2692" hidden="1">
      <c r="D2692" s="29"/>
    </row>
    <row r="2693" hidden="1">
      <c r="D2693" s="29"/>
    </row>
    <row r="2694" hidden="1">
      <c r="D2694" s="29"/>
    </row>
    <row r="2695" hidden="1">
      <c r="D2695" s="29"/>
    </row>
    <row r="2696" hidden="1">
      <c r="D2696" s="29"/>
    </row>
    <row r="2697" hidden="1">
      <c r="D2697" s="29"/>
    </row>
    <row r="2698" hidden="1">
      <c r="D2698" s="29"/>
    </row>
    <row r="2699" hidden="1">
      <c r="D2699" s="29"/>
    </row>
    <row r="2700" hidden="1">
      <c r="D2700" s="29"/>
    </row>
    <row r="2701" hidden="1">
      <c r="D2701" s="29"/>
    </row>
    <row r="2702" hidden="1">
      <c r="D2702" s="29"/>
    </row>
    <row r="2703" hidden="1">
      <c r="D2703" s="29"/>
    </row>
    <row r="2704" hidden="1">
      <c r="D2704" s="29"/>
    </row>
    <row r="2705" hidden="1">
      <c r="D2705" s="29"/>
    </row>
    <row r="2706" hidden="1">
      <c r="D2706" s="29"/>
    </row>
    <row r="2707" hidden="1">
      <c r="D2707" s="29"/>
    </row>
    <row r="2708" hidden="1">
      <c r="D2708" s="29"/>
    </row>
    <row r="2709" hidden="1">
      <c r="D2709" s="29"/>
    </row>
    <row r="2710" hidden="1">
      <c r="D2710" s="29"/>
    </row>
    <row r="2711" hidden="1">
      <c r="D2711" s="29"/>
    </row>
    <row r="2712" hidden="1">
      <c r="D2712" s="29"/>
    </row>
    <row r="2713" hidden="1">
      <c r="D2713" s="29"/>
    </row>
    <row r="2714" hidden="1">
      <c r="D2714" s="29"/>
    </row>
    <row r="2715" hidden="1">
      <c r="D2715" s="29"/>
    </row>
    <row r="2716" hidden="1">
      <c r="D2716" s="29"/>
    </row>
    <row r="2717" hidden="1">
      <c r="D2717" s="29"/>
    </row>
    <row r="2718" hidden="1">
      <c r="D2718" s="29"/>
    </row>
    <row r="2719" hidden="1">
      <c r="D2719" s="29"/>
    </row>
    <row r="2720" hidden="1">
      <c r="D2720" s="29"/>
    </row>
    <row r="2721" hidden="1">
      <c r="D2721" s="29"/>
    </row>
    <row r="2722" hidden="1">
      <c r="D2722" s="29"/>
    </row>
    <row r="2723" hidden="1">
      <c r="D2723" s="29"/>
    </row>
    <row r="2724" hidden="1">
      <c r="D2724" s="29"/>
    </row>
    <row r="2725" hidden="1">
      <c r="D2725" s="29"/>
    </row>
    <row r="2726" hidden="1">
      <c r="D2726" s="29"/>
    </row>
    <row r="2727" hidden="1">
      <c r="D2727" s="29"/>
    </row>
    <row r="2728" hidden="1">
      <c r="D2728" s="29"/>
    </row>
    <row r="2729" hidden="1">
      <c r="D2729" s="29"/>
    </row>
    <row r="2730" hidden="1">
      <c r="D2730" s="29"/>
    </row>
    <row r="2731" hidden="1">
      <c r="D2731" s="29"/>
    </row>
    <row r="2732" hidden="1">
      <c r="D2732" s="29"/>
    </row>
    <row r="2733" hidden="1">
      <c r="D2733" s="29"/>
    </row>
    <row r="2734" hidden="1">
      <c r="D2734" s="29"/>
    </row>
    <row r="2735" hidden="1">
      <c r="D2735" s="29"/>
    </row>
    <row r="2736" hidden="1">
      <c r="D2736" s="29"/>
    </row>
    <row r="2737" hidden="1">
      <c r="D2737" s="29"/>
    </row>
    <row r="2738" hidden="1">
      <c r="D2738" s="29"/>
    </row>
    <row r="2739" hidden="1">
      <c r="D2739" s="29"/>
    </row>
    <row r="2740" hidden="1">
      <c r="D2740" s="29"/>
    </row>
    <row r="2741" hidden="1">
      <c r="D2741" s="29"/>
    </row>
    <row r="2742" hidden="1">
      <c r="D2742" s="29"/>
    </row>
    <row r="2743" hidden="1">
      <c r="D2743" s="29"/>
    </row>
    <row r="2744" hidden="1">
      <c r="D2744" s="29"/>
    </row>
    <row r="2745" hidden="1">
      <c r="D2745" s="29"/>
    </row>
    <row r="2746" hidden="1">
      <c r="D2746" s="29"/>
    </row>
    <row r="2747" hidden="1">
      <c r="D2747" s="29"/>
    </row>
    <row r="2748" hidden="1">
      <c r="D2748" s="29"/>
    </row>
    <row r="2749" hidden="1">
      <c r="D2749" s="29"/>
    </row>
    <row r="2750" hidden="1">
      <c r="D2750" s="29"/>
    </row>
    <row r="2751" hidden="1">
      <c r="D2751" s="29"/>
    </row>
    <row r="2752" hidden="1">
      <c r="D2752" s="29"/>
    </row>
    <row r="2753" hidden="1">
      <c r="D2753" s="29"/>
    </row>
    <row r="2754" hidden="1">
      <c r="D2754" s="29"/>
    </row>
    <row r="2755" hidden="1">
      <c r="D2755" s="29"/>
    </row>
    <row r="2756" hidden="1">
      <c r="D2756" s="29"/>
    </row>
    <row r="2757" hidden="1">
      <c r="D2757" s="29"/>
    </row>
    <row r="2758" hidden="1">
      <c r="D2758" s="29"/>
    </row>
    <row r="2759" hidden="1">
      <c r="D2759" s="29"/>
    </row>
    <row r="2760" hidden="1">
      <c r="D2760" s="29"/>
    </row>
    <row r="2761" hidden="1">
      <c r="D2761" s="29"/>
    </row>
    <row r="2762" hidden="1">
      <c r="D2762" s="29"/>
    </row>
    <row r="2763" hidden="1">
      <c r="D2763" s="29"/>
    </row>
    <row r="2764" hidden="1">
      <c r="D2764" s="29"/>
    </row>
    <row r="2765" hidden="1">
      <c r="D2765" s="29"/>
    </row>
    <row r="2766" hidden="1">
      <c r="D2766" s="29"/>
    </row>
    <row r="2767" hidden="1">
      <c r="D2767" s="29"/>
    </row>
    <row r="2768" hidden="1">
      <c r="D2768" s="29"/>
    </row>
    <row r="2769" hidden="1">
      <c r="D2769" s="29"/>
    </row>
    <row r="2770" hidden="1">
      <c r="D2770" s="29"/>
    </row>
    <row r="2771" hidden="1">
      <c r="D2771" s="29"/>
    </row>
    <row r="2772" hidden="1">
      <c r="D2772" s="29"/>
    </row>
    <row r="2773" hidden="1">
      <c r="D2773" s="29"/>
    </row>
    <row r="2774" hidden="1">
      <c r="D2774" s="29"/>
    </row>
    <row r="2775" hidden="1">
      <c r="D2775" s="29"/>
    </row>
    <row r="2776" hidden="1">
      <c r="D2776" s="29"/>
    </row>
    <row r="2777" hidden="1">
      <c r="D2777" s="29"/>
    </row>
    <row r="2778" hidden="1">
      <c r="D2778" s="29"/>
    </row>
    <row r="2779" hidden="1">
      <c r="D2779" s="29"/>
    </row>
    <row r="2780" hidden="1">
      <c r="D2780" s="29"/>
    </row>
    <row r="2781" hidden="1">
      <c r="D2781" s="29"/>
    </row>
    <row r="2782" hidden="1">
      <c r="D2782" s="29"/>
    </row>
    <row r="2783" hidden="1">
      <c r="D2783" s="29"/>
    </row>
    <row r="2784" hidden="1">
      <c r="D2784" s="29"/>
    </row>
    <row r="2785" hidden="1">
      <c r="D2785" s="29"/>
    </row>
    <row r="2786" hidden="1">
      <c r="D2786" s="29"/>
    </row>
    <row r="2787" hidden="1">
      <c r="D2787" s="29"/>
    </row>
    <row r="2788" hidden="1">
      <c r="D2788" s="29"/>
    </row>
    <row r="2789" hidden="1">
      <c r="D2789" s="29"/>
    </row>
    <row r="2790" hidden="1">
      <c r="D2790" s="29"/>
    </row>
    <row r="2791" hidden="1">
      <c r="D2791" s="29"/>
    </row>
    <row r="2792" hidden="1">
      <c r="D2792" s="29"/>
    </row>
    <row r="2793" hidden="1">
      <c r="D2793" s="29"/>
    </row>
    <row r="2794" hidden="1">
      <c r="D2794" s="29"/>
    </row>
    <row r="2795" hidden="1">
      <c r="D2795" s="29"/>
    </row>
    <row r="2796" hidden="1">
      <c r="D2796" s="29"/>
    </row>
    <row r="2797" hidden="1">
      <c r="D2797" s="29"/>
    </row>
    <row r="2798" hidden="1">
      <c r="D2798" s="29"/>
    </row>
    <row r="2799" hidden="1">
      <c r="D2799" s="29"/>
    </row>
    <row r="2800" hidden="1">
      <c r="D2800" s="29"/>
    </row>
    <row r="2801" hidden="1">
      <c r="D2801" s="29"/>
    </row>
    <row r="2802" hidden="1">
      <c r="D2802" s="29"/>
    </row>
    <row r="2803" hidden="1">
      <c r="D2803" s="29"/>
    </row>
    <row r="2804" hidden="1">
      <c r="D2804" s="29"/>
    </row>
    <row r="2805" hidden="1">
      <c r="D2805" s="29"/>
    </row>
    <row r="2806" hidden="1">
      <c r="D2806" s="29"/>
    </row>
    <row r="2807" hidden="1">
      <c r="D2807" s="29"/>
    </row>
    <row r="2808" hidden="1">
      <c r="D2808" s="29"/>
    </row>
    <row r="2809" hidden="1">
      <c r="D2809" s="29"/>
    </row>
    <row r="2810" hidden="1">
      <c r="D2810" s="29"/>
    </row>
    <row r="2811" hidden="1">
      <c r="D2811" s="29"/>
    </row>
    <row r="2812" hidden="1">
      <c r="D2812" s="29"/>
    </row>
    <row r="2813" hidden="1">
      <c r="D2813" s="29"/>
    </row>
    <row r="2814" hidden="1">
      <c r="D2814" s="29"/>
    </row>
    <row r="2815" hidden="1">
      <c r="D2815" s="29"/>
    </row>
    <row r="2816" hidden="1">
      <c r="D2816" s="29"/>
    </row>
    <row r="2817" hidden="1">
      <c r="D2817" s="29"/>
    </row>
    <row r="2818" hidden="1">
      <c r="D2818" s="29"/>
    </row>
    <row r="2819" hidden="1">
      <c r="D2819" s="29"/>
    </row>
    <row r="2820" hidden="1">
      <c r="D2820" s="29"/>
    </row>
    <row r="2821" hidden="1">
      <c r="D2821" s="29"/>
    </row>
    <row r="2822" hidden="1">
      <c r="D2822" s="29"/>
    </row>
    <row r="2823" hidden="1">
      <c r="D2823" s="29"/>
    </row>
    <row r="2824" hidden="1">
      <c r="D2824" s="29"/>
    </row>
    <row r="2825" hidden="1">
      <c r="D2825" s="29"/>
    </row>
    <row r="2826" hidden="1">
      <c r="D2826" s="29"/>
    </row>
    <row r="2827" hidden="1">
      <c r="D2827" s="29"/>
    </row>
    <row r="2828" hidden="1">
      <c r="D2828" s="29"/>
    </row>
    <row r="2829" hidden="1">
      <c r="D2829" s="29"/>
    </row>
    <row r="2830" hidden="1">
      <c r="D2830" s="29"/>
    </row>
    <row r="2831" hidden="1">
      <c r="D2831" s="29"/>
    </row>
    <row r="2832" hidden="1">
      <c r="D2832" s="29"/>
    </row>
    <row r="2833" hidden="1">
      <c r="D2833" s="29"/>
    </row>
    <row r="2834" hidden="1">
      <c r="D2834" s="29"/>
    </row>
    <row r="2835" hidden="1">
      <c r="D2835" s="29"/>
    </row>
    <row r="2836" hidden="1">
      <c r="D2836" s="29"/>
    </row>
    <row r="2837" hidden="1">
      <c r="D2837" s="29"/>
    </row>
    <row r="2838" hidden="1">
      <c r="D2838" s="29"/>
    </row>
    <row r="2839" hidden="1">
      <c r="D2839" s="29"/>
    </row>
    <row r="2840" hidden="1">
      <c r="D2840" s="29"/>
    </row>
    <row r="2841" hidden="1">
      <c r="D2841" s="29"/>
    </row>
    <row r="2842" hidden="1">
      <c r="D2842" s="29"/>
    </row>
    <row r="2843" hidden="1">
      <c r="D2843" s="29"/>
    </row>
    <row r="2844" hidden="1">
      <c r="D2844" s="29"/>
    </row>
    <row r="2845" hidden="1">
      <c r="D2845" s="29"/>
    </row>
    <row r="2846" hidden="1">
      <c r="D2846" s="29"/>
    </row>
    <row r="2847" hidden="1">
      <c r="D2847" s="29"/>
    </row>
    <row r="2848" hidden="1">
      <c r="D2848" s="29"/>
    </row>
    <row r="2849" hidden="1">
      <c r="D2849" s="29"/>
    </row>
    <row r="2850" hidden="1">
      <c r="D2850" s="29"/>
    </row>
    <row r="2851" hidden="1">
      <c r="D2851" s="29"/>
    </row>
    <row r="2852" hidden="1">
      <c r="D2852" s="29"/>
    </row>
    <row r="2853" hidden="1">
      <c r="D2853" s="29"/>
    </row>
    <row r="2854" hidden="1">
      <c r="D2854" s="29"/>
    </row>
    <row r="2855" hidden="1">
      <c r="D2855" s="29"/>
    </row>
    <row r="2856" hidden="1">
      <c r="D2856" s="29"/>
    </row>
    <row r="2857" hidden="1">
      <c r="D2857" s="29"/>
    </row>
    <row r="2858" hidden="1">
      <c r="D2858" s="29"/>
    </row>
    <row r="2859" hidden="1">
      <c r="D2859" s="29"/>
    </row>
    <row r="2860" hidden="1">
      <c r="D2860" s="29"/>
    </row>
    <row r="2861" hidden="1">
      <c r="D2861" s="29"/>
    </row>
    <row r="2862" hidden="1">
      <c r="D2862" s="29"/>
    </row>
    <row r="2863" hidden="1">
      <c r="D2863" s="29"/>
    </row>
    <row r="2864" hidden="1">
      <c r="D2864" s="29"/>
    </row>
    <row r="2865" hidden="1">
      <c r="D2865" s="29"/>
    </row>
    <row r="2866" hidden="1">
      <c r="D2866" s="29"/>
    </row>
    <row r="2867" hidden="1">
      <c r="D2867" s="29"/>
    </row>
    <row r="2868" hidden="1">
      <c r="D2868" s="29"/>
    </row>
    <row r="2869" hidden="1">
      <c r="D2869" s="29"/>
    </row>
    <row r="2870" hidden="1">
      <c r="D2870" s="29"/>
    </row>
    <row r="2871" hidden="1">
      <c r="D2871" s="29"/>
    </row>
    <row r="2872" hidden="1">
      <c r="D2872" s="29"/>
    </row>
    <row r="2873" hidden="1">
      <c r="D2873" s="29"/>
    </row>
    <row r="2874" hidden="1">
      <c r="D2874" s="29"/>
    </row>
    <row r="2875" hidden="1">
      <c r="D2875" s="29"/>
    </row>
    <row r="2876" hidden="1">
      <c r="D2876" s="29"/>
    </row>
    <row r="2877" hidden="1">
      <c r="D2877" s="29"/>
    </row>
    <row r="2878" hidden="1">
      <c r="D2878" s="29"/>
    </row>
    <row r="2879" hidden="1">
      <c r="D2879" s="29"/>
    </row>
    <row r="2880" hidden="1">
      <c r="D2880" s="29"/>
    </row>
    <row r="2881" hidden="1">
      <c r="D2881" s="29"/>
    </row>
    <row r="2882" hidden="1">
      <c r="D2882" s="29"/>
    </row>
    <row r="2883" hidden="1">
      <c r="D2883" s="29"/>
    </row>
    <row r="2884" hidden="1">
      <c r="D2884" s="29"/>
    </row>
    <row r="2885" hidden="1">
      <c r="D2885" s="29"/>
    </row>
    <row r="2886" hidden="1">
      <c r="D2886" s="29"/>
    </row>
    <row r="2887" hidden="1">
      <c r="D2887" s="29"/>
    </row>
    <row r="2888" hidden="1">
      <c r="D2888" s="29"/>
    </row>
    <row r="2889" hidden="1">
      <c r="D2889" s="29"/>
    </row>
    <row r="2890" hidden="1">
      <c r="D2890" s="29"/>
    </row>
    <row r="2891" hidden="1">
      <c r="D2891" s="29"/>
    </row>
    <row r="2892" hidden="1">
      <c r="D2892" s="29"/>
    </row>
    <row r="2893" hidden="1">
      <c r="D2893" s="29"/>
    </row>
    <row r="2894" hidden="1">
      <c r="D2894" s="29"/>
    </row>
    <row r="2895" hidden="1">
      <c r="D2895" s="29"/>
    </row>
    <row r="2896" hidden="1">
      <c r="D2896" s="29"/>
    </row>
    <row r="2897" hidden="1">
      <c r="D2897" s="29"/>
    </row>
    <row r="2898" hidden="1">
      <c r="D2898" s="29"/>
    </row>
    <row r="2899" hidden="1">
      <c r="D2899" s="29"/>
    </row>
    <row r="2900" hidden="1">
      <c r="D2900" s="29"/>
    </row>
    <row r="2901" hidden="1">
      <c r="D2901" s="29"/>
    </row>
    <row r="2902" hidden="1">
      <c r="D2902" s="29"/>
    </row>
    <row r="2903" hidden="1">
      <c r="D2903" s="29"/>
    </row>
    <row r="2904" hidden="1">
      <c r="D2904" s="29"/>
    </row>
    <row r="2905" hidden="1">
      <c r="D2905" s="29"/>
    </row>
    <row r="2906" hidden="1">
      <c r="D2906" s="29"/>
    </row>
    <row r="2907" hidden="1">
      <c r="D2907" s="29"/>
    </row>
    <row r="2908" hidden="1">
      <c r="D2908" s="29"/>
    </row>
    <row r="2909" hidden="1">
      <c r="D2909" s="29"/>
    </row>
    <row r="2910" hidden="1">
      <c r="D2910" s="29"/>
    </row>
    <row r="2911" hidden="1">
      <c r="D2911" s="29"/>
    </row>
    <row r="2912" hidden="1">
      <c r="D2912" s="29"/>
    </row>
    <row r="2913" hidden="1">
      <c r="D2913" s="29"/>
    </row>
    <row r="2914" hidden="1">
      <c r="D2914" s="29"/>
    </row>
    <row r="2915" hidden="1">
      <c r="D2915" s="29"/>
    </row>
    <row r="2916" hidden="1">
      <c r="D2916" s="29"/>
    </row>
    <row r="2917" hidden="1">
      <c r="D2917" s="29"/>
    </row>
    <row r="2918" hidden="1">
      <c r="D2918" s="29"/>
    </row>
    <row r="2919" hidden="1">
      <c r="D2919" s="29"/>
    </row>
    <row r="2920" hidden="1">
      <c r="D2920" s="29"/>
    </row>
    <row r="2921" hidden="1">
      <c r="D2921" s="29"/>
    </row>
    <row r="2922" hidden="1">
      <c r="D2922" s="29"/>
    </row>
    <row r="2923" hidden="1">
      <c r="D2923" s="29"/>
    </row>
    <row r="2924" hidden="1">
      <c r="D2924" s="29"/>
    </row>
    <row r="2925" hidden="1">
      <c r="D2925" s="29"/>
    </row>
    <row r="2926" hidden="1">
      <c r="D2926" s="29"/>
    </row>
    <row r="2927" hidden="1">
      <c r="D2927" s="29"/>
    </row>
    <row r="2928" hidden="1">
      <c r="D2928" s="29"/>
    </row>
    <row r="2929" hidden="1">
      <c r="D2929" s="29"/>
    </row>
    <row r="2930" hidden="1">
      <c r="D2930" s="29"/>
    </row>
    <row r="2931" hidden="1">
      <c r="D2931" s="29"/>
    </row>
    <row r="2932" hidden="1">
      <c r="D2932" s="29"/>
    </row>
    <row r="2933" hidden="1">
      <c r="D2933" s="29"/>
    </row>
    <row r="2934" hidden="1">
      <c r="D2934" s="29"/>
    </row>
    <row r="2935" hidden="1">
      <c r="D2935" s="29"/>
    </row>
    <row r="2936" hidden="1">
      <c r="D2936" s="29"/>
    </row>
    <row r="2937" hidden="1">
      <c r="D2937" s="29"/>
    </row>
    <row r="2938" hidden="1">
      <c r="D2938" s="29"/>
    </row>
    <row r="2939" hidden="1">
      <c r="D2939" s="29"/>
    </row>
    <row r="2940" hidden="1">
      <c r="D2940" s="29"/>
    </row>
    <row r="2941" hidden="1">
      <c r="D2941" s="29"/>
    </row>
    <row r="2942" hidden="1">
      <c r="D2942" s="29"/>
    </row>
    <row r="2943" hidden="1">
      <c r="D2943" s="29"/>
    </row>
    <row r="2944" hidden="1">
      <c r="D2944" s="29"/>
    </row>
    <row r="2945" hidden="1">
      <c r="D2945" s="29"/>
    </row>
    <row r="2946" hidden="1">
      <c r="D2946" s="29"/>
    </row>
    <row r="2947" hidden="1">
      <c r="D2947" s="29"/>
    </row>
    <row r="2948" hidden="1">
      <c r="D2948" s="29"/>
    </row>
    <row r="2949" hidden="1">
      <c r="D2949" s="29"/>
    </row>
    <row r="2950" hidden="1">
      <c r="D2950" s="29"/>
    </row>
    <row r="2951" hidden="1">
      <c r="D2951" s="29"/>
    </row>
    <row r="2952" hidden="1">
      <c r="D2952" s="29"/>
    </row>
    <row r="2953" hidden="1">
      <c r="D2953" s="29"/>
    </row>
    <row r="2954" hidden="1">
      <c r="D2954" s="29"/>
    </row>
    <row r="2955" hidden="1">
      <c r="D2955" s="29"/>
    </row>
    <row r="2956" hidden="1">
      <c r="D2956" s="29"/>
    </row>
    <row r="2957" hidden="1">
      <c r="D2957" s="29"/>
    </row>
    <row r="2958" hidden="1">
      <c r="D2958" s="29"/>
    </row>
    <row r="2959" hidden="1">
      <c r="D2959" s="29"/>
    </row>
    <row r="2960" hidden="1">
      <c r="D2960" s="29"/>
    </row>
    <row r="2961" hidden="1">
      <c r="D2961" s="29"/>
    </row>
    <row r="2962" hidden="1">
      <c r="D2962" s="29"/>
    </row>
    <row r="2963" hidden="1">
      <c r="D2963" s="29"/>
    </row>
    <row r="2964" hidden="1">
      <c r="D2964" s="29"/>
    </row>
    <row r="2965" hidden="1">
      <c r="D2965" s="29"/>
    </row>
    <row r="2966" hidden="1">
      <c r="D2966" s="29"/>
    </row>
    <row r="2967" hidden="1">
      <c r="D2967" s="29"/>
    </row>
    <row r="2968" hidden="1">
      <c r="D2968" s="29"/>
    </row>
    <row r="2969" hidden="1">
      <c r="D2969" s="29"/>
    </row>
    <row r="2970" hidden="1">
      <c r="D2970" s="29"/>
    </row>
    <row r="2971" hidden="1">
      <c r="D2971" s="29"/>
    </row>
    <row r="2972" hidden="1">
      <c r="D2972" s="29"/>
    </row>
    <row r="2973" hidden="1">
      <c r="D2973" s="29"/>
    </row>
    <row r="2974" hidden="1">
      <c r="D2974" s="29"/>
    </row>
    <row r="2975" hidden="1">
      <c r="D2975" s="29"/>
    </row>
    <row r="2976" hidden="1">
      <c r="D2976" s="29"/>
    </row>
    <row r="2977" hidden="1">
      <c r="D2977" s="29"/>
    </row>
    <row r="2978" hidden="1">
      <c r="D2978" s="29"/>
    </row>
    <row r="2979" hidden="1">
      <c r="D2979" s="29"/>
    </row>
    <row r="2980" hidden="1">
      <c r="D2980" s="29"/>
    </row>
    <row r="2981" hidden="1">
      <c r="D2981" s="29"/>
    </row>
    <row r="2982" hidden="1">
      <c r="D2982" s="29"/>
    </row>
    <row r="2983" hidden="1">
      <c r="D2983" s="29"/>
    </row>
    <row r="2984" hidden="1">
      <c r="D2984" s="29"/>
    </row>
    <row r="2985" hidden="1">
      <c r="D2985" s="29"/>
    </row>
    <row r="2986" hidden="1">
      <c r="D2986" s="29"/>
    </row>
    <row r="2987" hidden="1">
      <c r="D2987" s="29"/>
    </row>
    <row r="2988" hidden="1">
      <c r="D2988" s="29"/>
    </row>
    <row r="2989" hidden="1">
      <c r="D2989" s="29"/>
    </row>
    <row r="2990" hidden="1">
      <c r="D2990" s="29"/>
    </row>
    <row r="2991" hidden="1">
      <c r="D2991" s="29"/>
    </row>
    <row r="2992" hidden="1">
      <c r="D2992" s="29"/>
    </row>
    <row r="2993" hidden="1">
      <c r="D2993" s="29"/>
    </row>
    <row r="2994" hidden="1">
      <c r="D2994" s="29"/>
    </row>
    <row r="2995" hidden="1">
      <c r="D2995" s="29"/>
    </row>
    <row r="2996" hidden="1">
      <c r="D2996" s="29"/>
    </row>
    <row r="2997" hidden="1">
      <c r="D2997" s="29"/>
    </row>
    <row r="2998" hidden="1">
      <c r="D2998" s="29"/>
    </row>
    <row r="2999" hidden="1">
      <c r="D2999" s="29"/>
    </row>
    <row r="3000" hidden="1">
      <c r="D3000" s="29"/>
    </row>
    <row r="3001" hidden="1">
      <c r="D3001" s="29"/>
    </row>
    <row r="3002" hidden="1">
      <c r="D3002" s="29"/>
    </row>
    <row r="3003" hidden="1">
      <c r="D3003" s="29"/>
    </row>
    <row r="3004" hidden="1">
      <c r="D3004" s="29"/>
    </row>
    <row r="3005" hidden="1">
      <c r="D3005" s="29"/>
    </row>
    <row r="3006" hidden="1">
      <c r="D3006" s="29"/>
    </row>
    <row r="3007" hidden="1">
      <c r="D3007" s="29"/>
    </row>
    <row r="3008" hidden="1">
      <c r="D3008" s="29"/>
    </row>
    <row r="3009" hidden="1">
      <c r="D3009" s="29"/>
    </row>
    <row r="3010" hidden="1">
      <c r="D3010" s="29"/>
    </row>
    <row r="3011" hidden="1">
      <c r="D3011" s="29"/>
    </row>
    <row r="3012" hidden="1">
      <c r="D3012" s="29"/>
    </row>
    <row r="3013" hidden="1">
      <c r="D3013" s="29"/>
    </row>
    <row r="3014" hidden="1">
      <c r="D3014" s="29"/>
    </row>
    <row r="3015" hidden="1">
      <c r="D3015" s="29"/>
    </row>
    <row r="3016" hidden="1">
      <c r="D3016" s="29"/>
    </row>
    <row r="3017" hidden="1">
      <c r="D3017" s="29"/>
    </row>
    <row r="3018" hidden="1">
      <c r="D3018" s="29"/>
    </row>
    <row r="3019" hidden="1">
      <c r="D3019" s="29"/>
    </row>
    <row r="3020" hidden="1">
      <c r="D3020" s="29"/>
    </row>
    <row r="3021" hidden="1">
      <c r="D3021" s="29"/>
    </row>
    <row r="3022" hidden="1">
      <c r="D3022" s="29"/>
    </row>
    <row r="3023" hidden="1">
      <c r="D3023" s="29"/>
    </row>
    <row r="3024" hidden="1">
      <c r="D3024" s="29"/>
    </row>
    <row r="3025" hidden="1">
      <c r="D3025" s="29"/>
    </row>
    <row r="3026" hidden="1">
      <c r="D3026" s="29"/>
    </row>
    <row r="3027" hidden="1">
      <c r="D3027" s="29"/>
    </row>
    <row r="3028" hidden="1">
      <c r="D3028" s="29"/>
    </row>
    <row r="3029" hidden="1">
      <c r="D3029" s="29"/>
    </row>
    <row r="3030" hidden="1">
      <c r="D3030" s="29"/>
    </row>
    <row r="3031" hidden="1">
      <c r="D3031" s="29"/>
    </row>
    <row r="3032" hidden="1">
      <c r="D3032" s="29"/>
    </row>
    <row r="3033" hidden="1">
      <c r="D3033" s="29"/>
    </row>
    <row r="3034" hidden="1">
      <c r="D3034" s="29"/>
    </row>
    <row r="3035" hidden="1">
      <c r="D3035" s="29"/>
    </row>
    <row r="3036" hidden="1">
      <c r="D3036" s="29"/>
    </row>
    <row r="3037" hidden="1">
      <c r="D3037" s="29"/>
    </row>
    <row r="3038" hidden="1">
      <c r="D3038" s="29"/>
    </row>
    <row r="3039" hidden="1">
      <c r="D3039" s="29"/>
    </row>
    <row r="3040" hidden="1">
      <c r="D3040" s="29"/>
    </row>
    <row r="3041" hidden="1">
      <c r="D3041" s="29"/>
    </row>
    <row r="3042" hidden="1">
      <c r="D3042" s="29"/>
    </row>
    <row r="3043" hidden="1">
      <c r="D3043" s="29"/>
    </row>
    <row r="3044" hidden="1">
      <c r="D3044" s="29"/>
    </row>
    <row r="3045" hidden="1">
      <c r="D3045" s="29"/>
    </row>
    <row r="3046" hidden="1">
      <c r="D3046" s="29"/>
    </row>
    <row r="3047" hidden="1">
      <c r="D3047" s="29"/>
    </row>
    <row r="3048" hidden="1">
      <c r="D3048" s="29"/>
    </row>
    <row r="3049" hidden="1">
      <c r="D3049" s="29"/>
    </row>
    <row r="3050" hidden="1">
      <c r="D3050" s="29"/>
    </row>
    <row r="3051" hidden="1">
      <c r="D3051" s="29"/>
    </row>
    <row r="3052" hidden="1">
      <c r="D3052" s="29"/>
    </row>
    <row r="3053" hidden="1">
      <c r="D3053" s="29"/>
    </row>
    <row r="3054" hidden="1">
      <c r="D3054" s="29"/>
    </row>
    <row r="3055" hidden="1">
      <c r="D3055" s="29"/>
    </row>
    <row r="3056" hidden="1">
      <c r="D3056" s="29"/>
    </row>
    <row r="3057" hidden="1">
      <c r="D3057" s="29"/>
    </row>
    <row r="3058" hidden="1">
      <c r="D3058" s="29"/>
    </row>
    <row r="3059" hidden="1">
      <c r="D3059" s="29"/>
    </row>
    <row r="3060" hidden="1">
      <c r="D3060" s="29"/>
    </row>
    <row r="3061" hidden="1">
      <c r="D3061" s="29"/>
    </row>
    <row r="3062" hidden="1">
      <c r="D3062" s="29"/>
    </row>
    <row r="3063" hidden="1">
      <c r="D3063" s="29"/>
    </row>
    <row r="3064" hidden="1">
      <c r="D3064" s="29"/>
    </row>
    <row r="3065" hidden="1">
      <c r="D3065" s="29"/>
    </row>
    <row r="3066" hidden="1">
      <c r="D3066" s="29"/>
    </row>
    <row r="3067" hidden="1">
      <c r="D3067" s="29"/>
    </row>
    <row r="3068" hidden="1">
      <c r="D3068" s="29"/>
    </row>
    <row r="3069" hidden="1">
      <c r="D3069" s="29"/>
    </row>
    <row r="3070" hidden="1">
      <c r="D3070" s="29"/>
    </row>
    <row r="3071" hidden="1">
      <c r="D3071" s="29"/>
    </row>
    <row r="3072" hidden="1">
      <c r="D3072" s="29"/>
    </row>
    <row r="3073" hidden="1">
      <c r="D3073" s="29"/>
    </row>
    <row r="3074" hidden="1">
      <c r="D3074" s="29"/>
    </row>
    <row r="3075" hidden="1">
      <c r="D3075" s="29"/>
    </row>
    <row r="3076" hidden="1">
      <c r="D3076" s="29"/>
    </row>
    <row r="3077" hidden="1">
      <c r="D3077" s="29"/>
    </row>
    <row r="3078" hidden="1">
      <c r="D3078" s="29"/>
    </row>
    <row r="3079" hidden="1">
      <c r="D3079" s="29"/>
    </row>
    <row r="3080" hidden="1">
      <c r="D3080" s="29"/>
    </row>
    <row r="3081" hidden="1">
      <c r="D3081" s="29"/>
    </row>
    <row r="3082" hidden="1">
      <c r="D3082" s="29"/>
    </row>
    <row r="3083" hidden="1">
      <c r="D3083" s="29"/>
    </row>
    <row r="3084" hidden="1">
      <c r="D3084" s="29"/>
    </row>
    <row r="3085" hidden="1">
      <c r="D3085" s="29"/>
    </row>
    <row r="3086" hidden="1">
      <c r="D3086" s="29"/>
    </row>
    <row r="3087" hidden="1">
      <c r="D3087" s="29"/>
    </row>
    <row r="3088" hidden="1">
      <c r="D3088" s="29"/>
    </row>
    <row r="3089" hidden="1">
      <c r="D3089" s="29"/>
    </row>
    <row r="3090" hidden="1">
      <c r="D3090" s="29"/>
    </row>
    <row r="3091" hidden="1">
      <c r="D3091" s="29"/>
    </row>
    <row r="3092" hidden="1">
      <c r="D3092" s="29"/>
    </row>
    <row r="3093" hidden="1">
      <c r="D3093" s="29"/>
    </row>
    <row r="3094" hidden="1">
      <c r="D3094" s="29"/>
    </row>
    <row r="3095" hidden="1">
      <c r="D3095" s="29"/>
    </row>
    <row r="3096" hidden="1">
      <c r="D3096" s="29"/>
    </row>
    <row r="3097" hidden="1">
      <c r="D3097" s="29"/>
    </row>
    <row r="3098" hidden="1">
      <c r="D3098" s="29"/>
    </row>
    <row r="3099" hidden="1">
      <c r="D3099" s="29"/>
    </row>
    <row r="3100" hidden="1">
      <c r="D3100" s="29"/>
    </row>
    <row r="3101" hidden="1">
      <c r="D3101" s="29"/>
    </row>
    <row r="3102" hidden="1">
      <c r="D3102" s="29"/>
    </row>
    <row r="3103" hidden="1">
      <c r="D3103" s="29"/>
    </row>
    <row r="3104" hidden="1">
      <c r="D3104" s="29"/>
    </row>
    <row r="3105" hidden="1">
      <c r="D3105" s="29"/>
    </row>
    <row r="3106" hidden="1">
      <c r="D3106" s="29"/>
    </row>
    <row r="3107" hidden="1">
      <c r="D3107" s="29"/>
    </row>
    <row r="3108" hidden="1">
      <c r="D3108" s="29"/>
    </row>
    <row r="3109" hidden="1">
      <c r="D3109" s="29"/>
    </row>
    <row r="3110" hidden="1">
      <c r="D3110" s="29"/>
    </row>
    <row r="3111" hidden="1">
      <c r="D3111" s="29"/>
    </row>
    <row r="3112" hidden="1">
      <c r="D3112" s="29"/>
    </row>
    <row r="3113" hidden="1">
      <c r="D3113" s="29"/>
    </row>
    <row r="3114" hidden="1">
      <c r="D3114" s="29"/>
    </row>
    <row r="3115" hidden="1">
      <c r="D3115" s="29"/>
    </row>
    <row r="3116" hidden="1">
      <c r="D3116" s="29"/>
    </row>
    <row r="3117" hidden="1">
      <c r="D3117" s="29"/>
    </row>
    <row r="3118" hidden="1">
      <c r="D3118" s="29"/>
    </row>
    <row r="3119" hidden="1">
      <c r="D3119" s="29"/>
    </row>
    <row r="3120" hidden="1">
      <c r="D3120" s="29"/>
    </row>
    <row r="3121" hidden="1">
      <c r="D3121" s="29"/>
    </row>
    <row r="3122" hidden="1">
      <c r="D3122" s="29"/>
    </row>
    <row r="3123" hidden="1">
      <c r="D3123" s="29"/>
    </row>
    <row r="3124" hidden="1">
      <c r="D3124" s="29"/>
    </row>
    <row r="3125" hidden="1">
      <c r="D3125" s="29"/>
    </row>
    <row r="3126" hidden="1">
      <c r="D3126" s="29"/>
    </row>
    <row r="3127" hidden="1">
      <c r="D3127" s="29"/>
    </row>
    <row r="3128" hidden="1">
      <c r="D3128" s="29"/>
    </row>
    <row r="3129" hidden="1">
      <c r="D3129" s="29"/>
    </row>
    <row r="3130" hidden="1">
      <c r="D3130" s="29"/>
    </row>
    <row r="3131" hidden="1">
      <c r="D3131" s="29"/>
    </row>
    <row r="3132" hidden="1">
      <c r="D3132" s="29"/>
    </row>
    <row r="3133" hidden="1">
      <c r="D3133" s="29"/>
    </row>
    <row r="3134" hidden="1">
      <c r="D3134" s="29"/>
    </row>
    <row r="3135" hidden="1">
      <c r="D3135" s="29"/>
    </row>
    <row r="3136" hidden="1">
      <c r="D3136" s="29"/>
    </row>
    <row r="3137" hidden="1">
      <c r="D3137" s="29"/>
    </row>
    <row r="3138" hidden="1">
      <c r="D3138" s="29"/>
    </row>
    <row r="3139" hidden="1">
      <c r="D3139" s="29"/>
    </row>
    <row r="3140" hidden="1">
      <c r="D3140" s="29"/>
    </row>
    <row r="3141" hidden="1">
      <c r="D3141" s="29"/>
    </row>
    <row r="3142" hidden="1">
      <c r="D3142" s="29"/>
    </row>
    <row r="3143" hidden="1">
      <c r="D3143" s="29"/>
    </row>
    <row r="3144" hidden="1">
      <c r="D3144" s="29"/>
    </row>
    <row r="3145" hidden="1">
      <c r="D3145" s="29"/>
    </row>
    <row r="3146" hidden="1">
      <c r="D3146" s="29"/>
    </row>
    <row r="3147" hidden="1">
      <c r="D3147" s="29"/>
    </row>
    <row r="3148" hidden="1">
      <c r="D3148" s="29"/>
    </row>
    <row r="3149" hidden="1">
      <c r="D3149" s="29"/>
    </row>
    <row r="3150" hidden="1">
      <c r="D3150" s="29"/>
    </row>
    <row r="3151" hidden="1">
      <c r="D3151" s="29"/>
    </row>
    <row r="3152" hidden="1">
      <c r="D3152" s="29"/>
    </row>
    <row r="3153" hidden="1">
      <c r="D3153" s="29"/>
    </row>
    <row r="3154" hidden="1">
      <c r="D3154" s="29"/>
    </row>
    <row r="3155" hidden="1">
      <c r="D3155" s="29"/>
    </row>
    <row r="3156" hidden="1">
      <c r="D3156" s="29"/>
    </row>
    <row r="3157" hidden="1">
      <c r="D3157" s="29"/>
    </row>
    <row r="3158" hidden="1">
      <c r="D3158" s="29"/>
    </row>
    <row r="3159" hidden="1">
      <c r="D3159" s="29"/>
    </row>
    <row r="3160" hidden="1">
      <c r="D3160" s="29"/>
    </row>
    <row r="3161" hidden="1">
      <c r="D3161" s="29"/>
    </row>
    <row r="3162" hidden="1">
      <c r="D3162" s="29"/>
    </row>
    <row r="3163" hidden="1">
      <c r="D3163" s="29"/>
    </row>
    <row r="3164" hidden="1">
      <c r="D3164" s="29"/>
    </row>
    <row r="3165" hidden="1">
      <c r="D3165" s="29"/>
    </row>
    <row r="3166" hidden="1">
      <c r="D3166" s="29"/>
    </row>
    <row r="3167" hidden="1">
      <c r="D3167" s="29"/>
    </row>
    <row r="3168" hidden="1">
      <c r="D3168" s="29"/>
    </row>
    <row r="3169" hidden="1">
      <c r="D3169" s="29"/>
    </row>
    <row r="3170" hidden="1">
      <c r="D3170" s="29"/>
    </row>
    <row r="3171" hidden="1">
      <c r="D3171" s="29"/>
    </row>
    <row r="3172" hidden="1">
      <c r="D3172" s="29"/>
    </row>
    <row r="3173" hidden="1">
      <c r="D3173" s="29"/>
    </row>
    <row r="3174" hidden="1">
      <c r="D3174" s="29"/>
    </row>
    <row r="3175" hidden="1">
      <c r="D3175" s="29"/>
    </row>
    <row r="3176" hidden="1">
      <c r="D3176" s="29"/>
    </row>
    <row r="3177" hidden="1">
      <c r="D3177" s="29"/>
    </row>
    <row r="3178" hidden="1">
      <c r="D3178" s="29"/>
    </row>
    <row r="3179" hidden="1">
      <c r="D3179" s="29"/>
    </row>
    <row r="3180" hidden="1">
      <c r="D3180" s="29"/>
    </row>
    <row r="3181" hidden="1">
      <c r="D3181" s="29"/>
    </row>
    <row r="3182" hidden="1">
      <c r="D3182" s="29"/>
    </row>
    <row r="3183" hidden="1">
      <c r="D3183" s="29"/>
    </row>
    <row r="3184" hidden="1">
      <c r="D3184" s="29"/>
    </row>
    <row r="3185" hidden="1">
      <c r="D3185" s="29"/>
    </row>
    <row r="3186" hidden="1">
      <c r="D3186" s="29"/>
    </row>
    <row r="3187" hidden="1">
      <c r="D3187" s="29"/>
    </row>
    <row r="3188" hidden="1">
      <c r="D3188" s="29"/>
    </row>
    <row r="3189" hidden="1">
      <c r="D3189" s="29"/>
    </row>
    <row r="3190" hidden="1">
      <c r="D3190" s="29"/>
    </row>
    <row r="3191" hidden="1">
      <c r="D3191" s="29"/>
    </row>
    <row r="3192" hidden="1">
      <c r="D3192" s="29"/>
    </row>
    <row r="3193" hidden="1">
      <c r="D3193" s="29"/>
    </row>
    <row r="3194" hidden="1">
      <c r="D3194" s="29"/>
    </row>
    <row r="3195" hidden="1">
      <c r="D3195" s="29"/>
    </row>
    <row r="3196" hidden="1">
      <c r="D3196" s="29"/>
    </row>
    <row r="3197" hidden="1">
      <c r="D3197" s="29"/>
    </row>
    <row r="3198" hidden="1">
      <c r="D3198" s="29"/>
    </row>
    <row r="3199" hidden="1">
      <c r="D3199" s="29"/>
    </row>
    <row r="3200" hidden="1">
      <c r="D3200" s="29"/>
    </row>
    <row r="3201" hidden="1">
      <c r="D3201" s="29"/>
    </row>
    <row r="3202" hidden="1">
      <c r="D3202" s="29"/>
    </row>
    <row r="3203" hidden="1">
      <c r="D3203" s="29"/>
    </row>
    <row r="3204" hidden="1">
      <c r="D3204" s="29"/>
    </row>
    <row r="3205" hidden="1">
      <c r="D3205" s="29"/>
    </row>
    <row r="3206" hidden="1">
      <c r="D3206" s="29"/>
    </row>
    <row r="3207" hidden="1">
      <c r="D3207" s="29"/>
    </row>
    <row r="3208" hidden="1">
      <c r="D3208" s="29"/>
    </row>
    <row r="3209" hidden="1">
      <c r="D3209" s="29"/>
    </row>
    <row r="3210" hidden="1">
      <c r="D3210" s="29"/>
    </row>
    <row r="3211" hidden="1">
      <c r="D3211" s="29"/>
    </row>
    <row r="3212" hidden="1">
      <c r="D3212" s="29"/>
    </row>
    <row r="3213" hidden="1">
      <c r="D3213" s="29"/>
    </row>
    <row r="3214" hidden="1">
      <c r="D3214" s="29"/>
    </row>
    <row r="3215" hidden="1">
      <c r="D3215" s="29"/>
    </row>
    <row r="3216" hidden="1">
      <c r="D3216" s="29"/>
    </row>
    <row r="3217" hidden="1">
      <c r="D3217" s="29"/>
    </row>
    <row r="3218" hidden="1">
      <c r="D3218" s="29"/>
    </row>
    <row r="3219" hidden="1">
      <c r="D3219" s="29"/>
    </row>
    <row r="3220" hidden="1">
      <c r="D3220" s="29"/>
    </row>
    <row r="3221" hidden="1">
      <c r="D3221" s="29"/>
    </row>
    <row r="3222" hidden="1">
      <c r="D3222" s="29"/>
    </row>
    <row r="3223" hidden="1">
      <c r="D3223" s="29"/>
    </row>
    <row r="3224" hidden="1">
      <c r="D3224" s="29"/>
    </row>
    <row r="3225" hidden="1">
      <c r="D3225" s="29"/>
    </row>
    <row r="3226" hidden="1">
      <c r="D3226" s="29"/>
    </row>
    <row r="3227" hidden="1">
      <c r="D3227" s="29"/>
    </row>
    <row r="3228" hidden="1">
      <c r="D3228" s="29"/>
    </row>
    <row r="3229" hidden="1">
      <c r="D3229" s="29"/>
    </row>
    <row r="3230" hidden="1">
      <c r="D3230" s="29"/>
    </row>
    <row r="3231" hidden="1">
      <c r="D3231" s="29"/>
    </row>
    <row r="3232" hidden="1">
      <c r="D3232" s="29"/>
    </row>
    <row r="3233" hidden="1">
      <c r="D3233" s="29"/>
    </row>
    <row r="3234" hidden="1">
      <c r="D3234" s="29"/>
    </row>
    <row r="3235" hidden="1">
      <c r="D3235" s="29"/>
    </row>
    <row r="3236" hidden="1">
      <c r="D3236" s="29"/>
    </row>
    <row r="3237" hidden="1">
      <c r="D3237" s="29"/>
    </row>
    <row r="3238" hidden="1">
      <c r="D3238" s="29"/>
    </row>
    <row r="3239" hidden="1">
      <c r="D3239" s="29"/>
    </row>
    <row r="3240" hidden="1">
      <c r="D3240" s="29"/>
    </row>
    <row r="3241" hidden="1">
      <c r="D3241" s="29"/>
    </row>
    <row r="3242" hidden="1">
      <c r="D3242" s="29"/>
    </row>
    <row r="3243" hidden="1">
      <c r="D3243" s="29"/>
    </row>
    <row r="3244" hidden="1">
      <c r="D3244" s="29"/>
    </row>
    <row r="3245" hidden="1">
      <c r="D3245" s="29"/>
    </row>
    <row r="3246" hidden="1">
      <c r="D3246" s="29"/>
    </row>
    <row r="3247" hidden="1">
      <c r="D3247" s="29"/>
    </row>
    <row r="3248" hidden="1">
      <c r="D3248" s="29"/>
    </row>
    <row r="3249" hidden="1">
      <c r="D3249" s="29"/>
    </row>
    <row r="3250" hidden="1">
      <c r="D3250" s="29"/>
    </row>
    <row r="3251" hidden="1">
      <c r="D3251" s="29"/>
    </row>
    <row r="3252" hidden="1">
      <c r="D3252" s="29"/>
    </row>
    <row r="3253" hidden="1">
      <c r="D3253" s="29"/>
    </row>
    <row r="3254" hidden="1">
      <c r="D3254" s="29"/>
    </row>
    <row r="3255" hidden="1">
      <c r="D3255" s="29"/>
    </row>
    <row r="3256" hidden="1">
      <c r="D3256" s="29"/>
    </row>
    <row r="3257" hidden="1">
      <c r="D3257" s="29"/>
    </row>
    <row r="3258" hidden="1">
      <c r="D3258" s="29"/>
    </row>
    <row r="3259" hidden="1">
      <c r="D3259" s="29"/>
    </row>
    <row r="3260" hidden="1">
      <c r="D3260" s="29"/>
    </row>
    <row r="3261" hidden="1">
      <c r="D3261" s="29"/>
    </row>
    <row r="3262" hidden="1">
      <c r="D3262" s="29"/>
    </row>
    <row r="3263" hidden="1">
      <c r="D3263" s="29"/>
    </row>
    <row r="3264" hidden="1">
      <c r="D3264" s="29"/>
    </row>
    <row r="3265" hidden="1">
      <c r="D3265" s="29"/>
    </row>
    <row r="3266" hidden="1">
      <c r="D3266" s="29"/>
    </row>
    <row r="3267" hidden="1">
      <c r="D3267" s="29"/>
    </row>
    <row r="3268" hidden="1">
      <c r="D3268" s="29"/>
    </row>
    <row r="3269" hidden="1">
      <c r="D3269" s="29"/>
    </row>
    <row r="3270" hidden="1">
      <c r="D3270" s="29"/>
    </row>
    <row r="3271" hidden="1">
      <c r="D3271" s="29"/>
    </row>
    <row r="3272" hidden="1">
      <c r="D3272" s="29"/>
    </row>
    <row r="3273" hidden="1">
      <c r="D3273" s="29"/>
    </row>
    <row r="3274" hidden="1">
      <c r="D3274" s="29"/>
    </row>
    <row r="3275" hidden="1">
      <c r="D3275" s="29"/>
    </row>
    <row r="3276" hidden="1">
      <c r="D3276" s="29"/>
    </row>
    <row r="3277" hidden="1">
      <c r="D3277" s="29"/>
    </row>
    <row r="3278" hidden="1">
      <c r="D3278" s="29"/>
    </row>
    <row r="3279" hidden="1">
      <c r="D3279" s="29"/>
    </row>
    <row r="3280" hidden="1">
      <c r="D3280" s="29"/>
    </row>
    <row r="3281" hidden="1">
      <c r="D3281" s="29"/>
    </row>
    <row r="3282" hidden="1">
      <c r="D3282" s="29"/>
    </row>
    <row r="3283" hidden="1">
      <c r="D3283" s="29"/>
    </row>
    <row r="3284" hidden="1">
      <c r="D3284" s="29"/>
    </row>
    <row r="3285" hidden="1">
      <c r="D3285" s="29"/>
    </row>
    <row r="3286" hidden="1">
      <c r="D3286" s="29"/>
    </row>
    <row r="3287" hidden="1">
      <c r="D3287" s="29"/>
    </row>
    <row r="3288" hidden="1">
      <c r="D3288" s="29"/>
    </row>
    <row r="3289" hidden="1">
      <c r="D3289" s="29"/>
    </row>
    <row r="3290" hidden="1">
      <c r="D3290" s="29"/>
    </row>
    <row r="3291" hidden="1">
      <c r="D3291" s="29"/>
    </row>
    <row r="3292" hidden="1">
      <c r="D3292" s="29"/>
    </row>
    <row r="3293" hidden="1">
      <c r="D3293" s="29"/>
    </row>
    <row r="3294" hidden="1">
      <c r="D3294" s="29"/>
    </row>
    <row r="3295" hidden="1">
      <c r="D3295" s="29"/>
    </row>
    <row r="3296" hidden="1">
      <c r="D3296" s="29"/>
    </row>
    <row r="3297" hidden="1">
      <c r="D3297" s="29"/>
    </row>
    <row r="3298" hidden="1">
      <c r="D3298" s="29"/>
    </row>
    <row r="3299" hidden="1">
      <c r="D3299" s="29"/>
    </row>
    <row r="3300" hidden="1">
      <c r="D3300" s="29"/>
    </row>
    <row r="3301" hidden="1">
      <c r="D3301" s="29"/>
    </row>
    <row r="3302" hidden="1">
      <c r="D3302" s="29"/>
    </row>
    <row r="3303" hidden="1">
      <c r="D3303" s="29"/>
    </row>
    <row r="3304" hidden="1">
      <c r="D3304" s="29"/>
    </row>
    <row r="3305" hidden="1">
      <c r="D3305" s="29"/>
    </row>
    <row r="3306" hidden="1">
      <c r="D3306" s="29"/>
    </row>
    <row r="3307" hidden="1">
      <c r="D3307" s="29"/>
    </row>
    <row r="3308" hidden="1">
      <c r="D3308" s="29"/>
    </row>
    <row r="3309" hidden="1">
      <c r="D3309" s="29"/>
    </row>
    <row r="3310" hidden="1">
      <c r="D3310" s="29"/>
    </row>
    <row r="3311" hidden="1">
      <c r="D3311" s="29"/>
    </row>
    <row r="3312" hidden="1">
      <c r="D3312" s="29"/>
    </row>
    <row r="3313" hidden="1">
      <c r="D3313" s="29"/>
    </row>
    <row r="3314" hidden="1">
      <c r="D3314" s="29"/>
    </row>
    <row r="3315" hidden="1">
      <c r="D3315" s="29"/>
    </row>
    <row r="3316" hidden="1">
      <c r="D3316" s="29"/>
    </row>
    <row r="3317" hidden="1">
      <c r="D3317" s="29"/>
    </row>
    <row r="3318" hidden="1">
      <c r="D3318" s="29"/>
    </row>
    <row r="3319" hidden="1">
      <c r="D3319" s="29"/>
    </row>
    <row r="3320" hidden="1">
      <c r="D3320" s="29"/>
    </row>
    <row r="3321" hidden="1">
      <c r="D3321" s="29"/>
    </row>
    <row r="3322" hidden="1">
      <c r="D3322" s="29"/>
    </row>
    <row r="3323" hidden="1">
      <c r="D3323" s="29"/>
    </row>
    <row r="3324" hidden="1">
      <c r="D3324" s="29"/>
    </row>
    <row r="3325" hidden="1">
      <c r="D3325" s="29"/>
    </row>
    <row r="3326" hidden="1">
      <c r="D3326" s="29"/>
    </row>
    <row r="3327" hidden="1">
      <c r="D3327" s="29"/>
    </row>
    <row r="3328" hidden="1">
      <c r="D3328" s="29"/>
    </row>
    <row r="3329" hidden="1">
      <c r="D3329" s="29"/>
    </row>
    <row r="3330" hidden="1">
      <c r="D3330" s="29"/>
    </row>
    <row r="3331" hidden="1">
      <c r="D3331" s="29"/>
    </row>
    <row r="3332" hidden="1">
      <c r="D3332" s="29"/>
    </row>
    <row r="3333" hidden="1">
      <c r="D3333" s="29"/>
    </row>
    <row r="3334" hidden="1">
      <c r="D3334" s="29"/>
    </row>
    <row r="3335" hidden="1">
      <c r="D3335" s="29"/>
    </row>
    <row r="3336" hidden="1">
      <c r="D3336" s="29"/>
    </row>
    <row r="3337" hidden="1">
      <c r="D3337" s="29"/>
    </row>
    <row r="3338" hidden="1">
      <c r="D3338" s="29"/>
    </row>
    <row r="3339" hidden="1">
      <c r="D3339" s="29"/>
    </row>
    <row r="3340" hidden="1">
      <c r="D3340" s="29"/>
    </row>
    <row r="3341" hidden="1">
      <c r="D3341" s="29"/>
    </row>
    <row r="3342" hidden="1">
      <c r="D3342" s="29"/>
    </row>
    <row r="3343" hidden="1">
      <c r="D3343" s="29"/>
    </row>
    <row r="3344" hidden="1">
      <c r="D3344" s="29"/>
    </row>
    <row r="3345" hidden="1">
      <c r="D3345" s="29"/>
    </row>
    <row r="3346" hidden="1">
      <c r="D3346" s="29"/>
    </row>
    <row r="3347" hidden="1">
      <c r="D3347" s="29"/>
    </row>
    <row r="3348" hidden="1">
      <c r="D3348" s="29"/>
    </row>
    <row r="3349" hidden="1">
      <c r="D3349" s="29"/>
    </row>
    <row r="3350" hidden="1">
      <c r="D3350" s="29"/>
    </row>
    <row r="3351" hidden="1">
      <c r="D3351" s="29"/>
    </row>
    <row r="3352" hidden="1">
      <c r="D3352" s="29"/>
    </row>
    <row r="3353" hidden="1">
      <c r="D3353" s="29"/>
    </row>
    <row r="3354" hidden="1">
      <c r="D3354" s="29"/>
    </row>
    <row r="3355" hidden="1">
      <c r="D3355" s="29"/>
    </row>
    <row r="3356" hidden="1">
      <c r="D3356" s="29"/>
    </row>
    <row r="3357" hidden="1">
      <c r="D3357" s="29"/>
    </row>
    <row r="3358" hidden="1">
      <c r="D3358" s="29"/>
    </row>
    <row r="3359" hidden="1">
      <c r="D3359" s="29"/>
    </row>
    <row r="3360" hidden="1">
      <c r="D3360" s="29"/>
    </row>
    <row r="3361" hidden="1">
      <c r="D3361" s="29"/>
    </row>
    <row r="3362" hidden="1">
      <c r="D3362" s="29"/>
    </row>
    <row r="3363" hidden="1">
      <c r="D3363" s="29"/>
    </row>
    <row r="3364" hidden="1">
      <c r="D3364" s="29"/>
    </row>
    <row r="3365" hidden="1">
      <c r="D3365" s="29"/>
    </row>
    <row r="3366" hidden="1">
      <c r="D3366" s="29"/>
    </row>
    <row r="3367" hidden="1">
      <c r="D3367" s="29"/>
    </row>
    <row r="3368" hidden="1">
      <c r="D3368" s="29"/>
    </row>
    <row r="3369" hidden="1">
      <c r="D3369" s="29"/>
    </row>
    <row r="3370" hidden="1">
      <c r="D3370" s="29"/>
    </row>
    <row r="3371" hidden="1">
      <c r="D3371" s="29"/>
    </row>
    <row r="3372" hidden="1">
      <c r="D3372" s="29"/>
    </row>
    <row r="3373" hidden="1">
      <c r="D3373" s="29"/>
    </row>
    <row r="3374" hidden="1">
      <c r="D3374" s="29"/>
    </row>
    <row r="3375" hidden="1">
      <c r="D3375" s="29"/>
    </row>
    <row r="3376" hidden="1">
      <c r="D3376" s="29"/>
    </row>
    <row r="3377" hidden="1">
      <c r="D3377" s="29"/>
    </row>
    <row r="3378" hidden="1">
      <c r="D3378" s="29"/>
    </row>
    <row r="3379" hidden="1">
      <c r="D3379" s="29"/>
    </row>
    <row r="3380" hidden="1">
      <c r="D3380" s="29"/>
    </row>
    <row r="3381" hidden="1">
      <c r="D3381" s="29"/>
    </row>
    <row r="3382" hidden="1">
      <c r="D3382" s="29"/>
    </row>
    <row r="3383" hidden="1">
      <c r="D3383" s="29"/>
    </row>
    <row r="3384" hidden="1">
      <c r="D3384" s="29"/>
    </row>
    <row r="3385" hidden="1">
      <c r="D3385" s="29"/>
    </row>
    <row r="3386" hidden="1">
      <c r="D3386" s="29"/>
    </row>
    <row r="3387" hidden="1">
      <c r="D3387" s="29"/>
    </row>
    <row r="3388" hidden="1">
      <c r="D3388" s="29"/>
    </row>
    <row r="3389" hidden="1">
      <c r="D3389" s="29"/>
    </row>
    <row r="3390" hidden="1">
      <c r="D3390" s="29"/>
    </row>
    <row r="3391" hidden="1">
      <c r="D3391" s="29"/>
    </row>
    <row r="3392" hidden="1">
      <c r="D3392" s="29"/>
    </row>
    <row r="3393" hidden="1">
      <c r="D3393" s="29"/>
    </row>
    <row r="3394" hidden="1">
      <c r="D3394" s="29"/>
    </row>
    <row r="3395" hidden="1">
      <c r="D3395" s="29"/>
    </row>
    <row r="3396" hidden="1">
      <c r="D3396" s="29"/>
    </row>
    <row r="3397" hidden="1">
      <c r="D3397" s="29"/>
    </row>
    <row r="3398" hidden="1">
      <c r="D3398" s="29"/>
    </row>
    <row r="3399" hidden="1">
      <c r="D3399" s="29"/>
    </row>
    <row r="3400" hidden="1">
      <c r="D3400" s="29"/>
    </row>
    <row r="3401" hidden="1">
      <c r="D3401" s="29"/>
    </row>
    <row r="3402" hidden="1">
      <c r="D3402" s="29"/>
    </row>
    <row r="3403" hidden="1">
      <c r="D3403" s="29"/>
    </row>
    <row r="3404" hidden="1">
      <c r="D3404" s="29"/>
    </row>
    <row r="3405" hidden="1">
      <c r="D3405" s="29"/>
    </row>
    <row r="3406" hidden="1">
      <c r="D3406" s="29"/>
    </row>
    <row r="3407" hidden="1">
      <c r="D3407" s="29"/>
    </row>
    <row r="3408" hidden="1">
      <c r="D3408" s="29"/>
    </row>
    <row r="3409" hidden="1">
      <c r="D3409" s="29"/>
    </row>
    <row r="3410" hidden="1">
      <c r="D3410" s="29"/>
    </row>
    <row r="3411" hidden="1">
      <c r="D3411" s="29"/>
    </row>
    <row r="3412" hidden="1">
      <c r="D3412" s="29"/>
    </row>
    <row r="3413" hidden="1">
      <c r="D3413" s="29"/>
    </row>
    <row r="3414" hidden="1">
      <c r="D3414" s="29"/>
    </row>
    <row r="3415" hidden="1">
      <c r="D3415" s="29"/>
    </row>
    <row r="3416" hidden="1">
      <c r="D3416" s="29"/>
    </row>
    <row r="3417" hidden="1">
      <c r="D3417" s="29"/>
    </row>
    <row r="3418" hidden="1">
      <c r="D3418" s="29"/>
    </row>
    <row r="3419" hidden="1">
      <c r="D3419" s="29"/>
    </row>
    <row r="3420" hidden="1">
      <c r="D3420" s="29"/>
    </row>
    <row r="3421" hidden="1">
      <c r="D3421" s="29"/>
    </row>
    <row r="3422" hidden="1">
      <c r="D3422" s="29"/>
    </row>
    <row r="3423" hidden="1">
      <c r="D3423" s="29"/>
    </row>
    <row r="3424" hidden="1">
      <c r="D3424" s="29"/>
    </row>
    <row r="3425" hidden="1">
      <c r="D3425" s="29"/>
    </row>
    <row r="3426" hidden="1">
      <c r="D3426" s="29"/>
    </row>
    <row r="3427" hidden="1">
      <c r="D3427" s="29"/>
    </row>
    <row r="3428" hidden="1">
      <c r="D3428" s="29"/>
    </row>
    <row r="3429" hidden="1">
      <c r="D3429" s="29"/>
    </row>
    <row r="3430" hidden="1">
      <c r="D3430" s="29"/>
    </row>
    <row r="3431" hidden="1">
      <c r="D3431" s="29"/>
    </row>
    <row r="3432" hidden="1">
      <c r="D3432" s="29"/>
    </row>
    <row r="3433" hidden="1">
      <c r="D3433" s="29"/>
    </row>
    <row r="3434" hidden="1">
      <c r="D3434" s="29"/>
    </row>
    <row r="3435" hidden="1">
      <c r="D3435" s="29"/>
    </row>
    <row r="3436" hidden="1">
      <c r="D3436" s="29"/>
    </row>
    <row r="3437" hidden="1">
      <c r="D3437" s="29"/>
    </row>
    <row r="3438" hidden="1">
      <c r="D3438" s="29"/>
    </row>
    <row r="3439" hidden="1">
      <c r="D3439" s="29"/>
    </row>
    <row r="3440" hidden="1">
      <c r="D3440" s="29"/>
    </row>
    <row r="3441" hidden="1">
      <c r="D3441" s="29"/>
    </row>
    <row r="3442" hidden="1">
      <c r="D3442" s="29"/>
    </row>
    <row r="3443" hidden="1">
      <c r="D3443" s="29"/>
    </row>
    <row r="3444" hidden="1">
      <c r="D3444" s="29"/>
    </row>
    <row r="3445" hidden="1">
      <c r="D3445" s="29"/>
    </row>
    <row r="3446" hidden="1">
      <c r="D3446" s="29"/>
    </row>
    <row r="3447" hidden="1">
      <c r="D3447" s="29"/>
    </row>
    <row r="3448" hidden="1">
      <c r="D3448" s="29"/>
    </row>
    <row r="3449" hidden="1">
      <c r="D3449" s="29"/>
    </row>
    <row r="3450" hidden="1">
      <c r="D3450" s="29"/>
    </row>
    <row r="3451" hidden="1">
      <c r="D3451" s="29"/>
    </row>
    <row r="3452" hidden="1">
      <c r="D3452" s="29"/>
    </row>
    <row r="3453" hidden="1">
      <c r="D3453" s="29"/>
    </row>
    <row r="3454" hidden="1">
      <c r="D3454" s="29"/>
    </row>
    <row r="3455" hidden="1">
      <c r="D3455" s="29"/>
    </row>
    <row r="3456" hidden="1">
      <c r="D3456" s="29"/>
    </row>
    <row r="3457" hidden="1">
      <c r="D3457" s="29"/>
    </row>
    <row r="3458" hidden="1">
      <c r="D3458" s="29"/>
    </row>
    <row r="3459" hidden="1">
      <c r="D3459" s="29"/>
    </row>
    <row r="3460" hidden="1">
      <c r="D3460" s="29"/>
    </row>
    <row r="3461" hidden="1">
      <c r="D3461" s="29"/>
    </row>
    <row r="3462" hidden="1">
      <c r="D3462" s="29"/>
    </row>
    <row r="3463" hidden="1">
      <c r="D3463" s="29"/>
    </row>
    <row r="3464" hidden="1">
      <c r="D3464" s="29"/>
    </row>
    <row r="3465" hidden="1">
      <c r="D3465" s="29"/>
    </row>
    <row r="3466" hidden="1">
      <c r="D3466" s="29"/>
    </row>
    <row r="3467" hidden="1">
      <c r="D3467" s="29"/>
    </row>
    <row r="3468" hidden="1">
      <c r="D3468" s="29"/>
    </row>
    <row r="3469" hidden="1">
      <c r="D3469" s="29"/>
    </row>
    <row r="3470" hidden="1">
      <c r="D3470" s="29"/>
    </row>
    <row r="3471" hidden="1">
      <c r="D3471" s="29"/>
    </row>
    <row r="3472" hidden="1">
      <c r="D3472" s="29"/>
    </row>
    <row r="3473" hidden="1">
      <c r="D3473" s="29"/>
    </row>
    <row r="3474" hidden="1">
      <c r="D3474" s="29"/>
    </row>
    <row r="3475" hidden="1">
      <c r="D3475" s="29"/>
    </row>
    <row r="3476" hidden="1">
      <c r="D3476" s="29"/>
    </row>
    <row r="3477" hidden="1">
      <c r="D3477" s="29"/>
    </row>
    <row r="3478" hidden="1">
      <c r="D3478" s="29"/>
    </row>
    <row r="3479" hidden="1">
      <c r="D3479" s="29"/>
    </row>
    <row r="3480" hidden="1">
      <c r="D3480" s="29"/>
    </row>
    <row r="3481" hidden="1">
      <c r="D3481" s="29"/>
    </row>
    <row r="3482" hidden="1">
      <c r="D3482" s="29"/>
    </row>
    <row r="3483" hidden="1">
      <c r="D3483" s="29"/>
    </row>
    <row r="3484" hidden="1">
      <c r="D3484" s="29"/>
    </row>
    <row r="3485" hidden="1">
      <c r="D3485" s="29"/>
    </row>
    <row r="3486" hidden="1">
      <c r="D3486" s="29"/>
    </row>
    <row r="3487" hidden="1">
      <c r="D3487" s="29"/>
    </row>
    <row r="3488" hidden="1">
      <c r="D3488" s="29"/>
    </row>
    <row r="3489" hidden="1">
      <c r="D3489" s="29"/>
    </row>
    <row r="3490" hidden="1">
      <c r="D3490" s="29"/>
    </row>
    <row r="3491" hidden="1">
      <c r="D3491" s="29"/>
    </row>
    <row r="3492" hidden="1">
      <c r="D3492" s="29"/>
    </row>
    <row r="3493" hidden="1">
      <c r="D3493" s="29"/>
    </row>
    <row r="3494" hidden="1">
      <c r="D3494" s="29"/>
    </row>
    <row r="3495" hidden="1">
      <c r="D3495" s="29"/>
    </row>
    <row r="3496" hidden="1">
      <c r="D3496" s="29"/>
    </row>
    <row r="3497" hidden="1">
      <c r="D3497" s="29"/>
    </row>
    <row r="3498" hidden="1">
      <c r="D3498" s="29"/>
    </row>
    <row r="3499" hidden="1">
      <c r="D3499" s="29"/>
    </row>
    <row r="3500" hidden="1">
      <c r="D3500" s="29"/>
    </row>
    <row r="3501" hidden="1">
      <c r="D3501" s="29"/>
    </row>
    <row r="3502" hidden="1">
      <c r="D3502" s="29"/>
    </row>
    <row r="3503" hidden="1">
      <c r="D3503" s="29"/>
    </row>
    <row r="3504" hidden="1">
      <c r="D3504" s="29"/>
    </row>
    <row r="3505" hidden="1">
      <c r="D3505" s="29"/>
    </row>
    <row r="3506" hidden="1">
      <c r="D3506" s="29"/>
    </row>
    <row r="3507" hidden="1">
      <c r="D3507" s="29"/>
    </row>
    <row r="3508" hidden="1">
      <c r="D3508" s="29"/>
    </row>
    <row r="3509" hidden="1">
      <c r="D3509" s="29"/>
    </row>
    <row r="3510" hidden="1">
      <c r="D3510" s="29"/>
    </row>
    <row r="3511" hidden="1">
      <c r="D3511" s="29"/>
    </row>
    <row r="3512" hidden="1">
      <c r="D3512" s="29"/>
    </row>
    <row r="3513" hidden="1">
      <c r="D3513" s="29"/>
    </row>
    <row r="3514" hidden="1">
      <c r="D3514" s="29"/>
    </row>
    <row r="3515" hidden="1">
      <c r="D3515" s="29"/>
    </row>
    <row r="3516" hidden="1">
      <c r="D3516" s="29"/>
    </row>
    <row r="3517" hidden="1">
      <c r="D3517" s="29"/>
    </row>
    <row r="3518" hidden="1">
      <c r="D3518" s="29"/>
    </row>
    <row r="3519" hidden="1">
      <c r="D3519" s="29"/>
    </row>
    <row r="3520" hidden="1">
      <c r="D3520" s="29"/>
    </row>
    <row r="3521" hidden="1">
      <c r="D3521" s="29"/>
    </row>
    <row r="3522" hidden="1">
      <c r="D3522" s="29"/>
    </row>
    <row r="3523" hidden="1">
      <c r="D3523" s="29"/>
    </row>
    <row r="3524" hidden="1">
      <c r="D3524" s="29"/>
    </row>
    <row r="3525" hidden="1">
      <c r="D3525" s="29"/>
    </row>
    <row r="3526" hidden="1">
      <c r="D3526" s="29"/>
    </row>
    <row r="3527" hidden="1">
      <c r="D3527" s="29"/>
    </row>
    <row r="3528" hidden="1">
      <c r="D3528" s="29"/>
    </row>
    <row r="3529" hidden="1">
      <c r="D3529" s="29"/>
    </row>
    <row r="3530" hidden="1">
      <c r="D3530" s="29"/>
    </row>
    <row r="3531" hidden="1">
      <c r="D3531" s="29"/>
    </row>
    <row r="3532" hidden="1">
      <c r="D3532" s="29"/>
    </row>
    <row r="3533" hidden="1">
      <c r="D3533" s="29"/>
    </row>
    <row r="3534" hidden="1">
      <c r="D3534" s="29"/>
    </row>
    <row r="3535" hidden="1">
      <c r="D3535" s="29"/>
    </row>
    <row r="3536" hidden="1">
      <c r="D3536" s="29"/>
    </row>
    <row r="3537" hidden="1">
      <c r="D3537" s="29"/>
    </row>
    <row r="3538" hidden="1">
      <c r="D3538" s="29"/>
    </row>
    <row r="3539" hidden="1">
      <c r="D3539" s="29"/>
    </row>
    <row r="3540" hidden="1">
      <c r="D3540" s="29"/>
    </row>
    <row r="3541" hidden="1">
      <c r="D3541" s="29"/>
    </row>
    <row r="3542" hidden="1">
      <c r="D3542" s="29"/>
    </row>
    <row r="3543" hidden="1">
      <c r="D3543" s="29"/>
    </row>
    <row r="3544" hidden="1">
      <c r="D3544" s="29"/>
    </row>
    <row r="3545" hidden="1">
      <c r="D3545" s="29"/>
    </row>
    <row r="3546" hidden="1">
      <c r="D3546" s="29"/>
    </row>
    <row r="3547" hidden="1">
      <c r="D3547" s="29"/>
    </row>
    <row r="3548" hidden="1">
      <c r="D3548" s="29"/>
    </row>
    <row r="3549" hidden="1">
      <c r="D3549" s="29"/>
    </row>
    <row r="3550" hidden="1">
      <c r="D3550" s="29"/>
    </row>
    <row r="3551" hidden="1">
      <c r="D3551" s="29"/>
    </row>
    <row r="3552" hidden="1">
      <c r="D3552" s="29"/>
    </row>
    <row r="3553" hidden="1">
      <c r="D3553" s="29"/>
    </row>
    <row r="3554" hidden="1">
      <c r="D3554" s="29"/>
    </row>
    <row r="3555" hidden="1">
      <c r="D3555" s="29"/>
    </row>
    <row r="3556" hidden="1">
      <c r="D3556" s="29"/>
    </row>
    <row r="3557" hidden="1">
      <c r="D3557" s="29"/>
    </row>
    <row r="3558" hidden="1">
      <c r="D3558" s="29"/>
    </row>
    <row r="3559" hidden="1">
      <c r="D3559" s="29"/>
    </row>
    <row r="3560" hidden="1">
      <c r="D3560" s="29"/>
    </row>
    <row r="3561" hidden="1">
      <c r="D3561" s="29"/>
    </row>
    <row r="3562" hidden="1">
      <c r="D3562" s="29"/>
    </row>
    <row r="3563" hidden="1">
      <c r="D3563" s="29"/>
    </row>
    <row r="3564" hidden="1">
      <c r="D3564" s="29"/>
    </row>
    <row r="3565" hidden="1">
      <c r="D3565" s="29"/>
    </row>
    <row r="3566" hidden="1">
      <c r="D3566" s="29"/>
    </row>
    <row r="3567" hidden="1">
      <c r="D3567" s="29"/>
    </row>
    <row r="3568" hidden="1">
      <c r="D3568" s="29"/>
    </row>
    <row r="3569" hidden="1">
      <c r="D3569" s="29"/>
    </row>
    <row r="3570" hidden="1">
      <c r="D3570" s="29"/>
    </row>
    <row r="3571" hidden="1">
      <c r="D3571" s="29"/>
    </row>
    <row r="3572" hidden="1">
      <c r="D3572" s="29"/>
    </row>
    <row r="3573" hidden="1">
      <c r="D3573" s="29"/>
    </row>
    <row r="3574" hidden="1">
      <c r="D3574" s="29"/>
    </row>
    <row r="3575" hidden="1">
      <c r="D3575" s="29"/>
    </row>
    <row r="3576" hidden="1">
      <c r="D3576" s="29"/>
    </row>
    <row r="3577" hidden="1">
      <c r="D3577" s="29"/>
    </row>
    <row r="3578" hidden="1">
      <c r="D3578" s="29"/>
    </row>
    <row r="3579" hidden="1">
      <c r="D3579" s="29"/>
    </row>
    <row r="3580" hidden="1">
      <c r="D3580" s="29"/>
    </row>
    <row r="3581" hidden="1">
      <c r="D3581" s="29"/>
    </row>
    <row r="3582" hidden="1">
      <c r="D3582" s="29"/>
    </row>
    <row r="3583" hidden="1">
      <c r="D3583" s="29"/>
    </row>
    <row r="3584" hidden="1">
      <c r="D3584" s="29"/>
    </row>
    <row r="3585" hidden="1">
      <c r="D3585" s="29"/>
    </row>
    <row r="3586" hidden="1">
      <c r="D3586" s="29"/>
    </row>
    <row r="3587" hidden="1">
      <c r="D3587" s="29"/>
    </row>
    <row r="3588" hidden="1">
      <c r="D3588" s="29"/>
    </row>
    <row r="3589" hidden="1">
      <c r="D3589" s="29"/>
    </row>
    <row r="3590" hidden="1">
      <c r="D3590" s="29"/>
    </row>
    <row r="3591" hidden="1">
      <c r="D3591" s="29"/>
    </row>
    <row r="3592" hidden="1">
      <c r="D3592" s="29"/>
    </row>
    <row r="3593" hidden="1">
      <c r="D3593" s="29"/>
    </row>
    <row r="3594" hidden="1">
      <c r="D3594" s="29"/>
    </row>
    <row r="3595" hidden="1">
      <c r="D3595" s="29"/>
    </row>
    <row r="3596" hidden="1">
      <c r="D3596" s="29"/>
    </row>
    <row r="3597" hidden="1">
      <c r="D3597" s="29"/>
    </row>
    <row r="3598" hidden="1">
      <c r="D3598" s="29"/>
    </row>
    <row r="3599" hidden="1">
      <c r="D3599" s="29"/>
    </row>
    <row r="3600" hidden="1">
      <c r="D3600" s="29"/>
    </row>
    <row r="3601" hidden="1">
      <c r="D3601" s="29"/>
    </row>
    <row r="3602" hidden="1">
      <c r="D3602" s="29"/>
    </row>
    <row r="3603" hidden="1">
      <c r="D3603" s="29"/>
    </row>
    <row r="3604" hidden="1">
      <c r="D3604" s="29"/>
    </row>
    <row r="3605" hidden="1">
      <c r="D3605" s="29"/>
    </row>
    <row r="3606" hidden="1">
      <c r="D3606" s="29"/>
    </row>
    <row r="3607" hidden="1">
      <c r="D3607" s="29"/>
    </row>
    <row r="3608" hidden="1">
      <c r="D3608" s="29"/>
    </row>
    <row r="3609" hidden="1">
      <c r="D3609" s="29"/>
    </row>
    <row r="3610" hidden="1">
      <c r="D3610" s="29"/>
    </row>
    <row r="3611" hidden="1">
      <c r="D3611" s="29"/>
    </row>
    <row r="3612" hidden="1">
      <c r="D3612" s="29"/>
    </row>
    <row r="3613" hidden="1">
      <c r="D3613" s="29"/>
    </row>
    <row r="3614" hidden="1">
      <c r="D3614" s="29"/>
    </row>
    <row r="3615" hidden="1">
      <c r="D3615" s="29"/>
    </row>
    <row r="3616" hidden="1">
      <c r="D3616" s="29"/>
    </row>
    <row r="3617" hidden="1">
      <c r="D3617" s="29"/>
    </row>
    <row r="3618" hidden="1">
      <c r="D3618" s="29"/>
    </row>
    <row r="3619" hidden="1">
      <c r="D3619" s="29"/>
    </row>
    <row r="3620" hidden="1">
      <c r="D3620" s="29"/>
    </row>
    <row r="3621" hidden="1">
      <c r="D3621" s="29"/>
    </row>
    <row r="3622" hidden="1">
      <c r="D3622" s="29"/>
    </row>
    <row r="3623" hidden="1">
      <c r="D3623" s="29"/>
    </row>
    <row r="3624" hidden="1">
      <c r="D3624" s="29"/>
    </row>
    <row r="3625" hidden="1">
      <c r="D3625" s="29"/>
    </row>
    <row r="3626" hidden="1">
      <c r="D3626" s="29"/>
    </row>
    <row r="3627" hidden="1">
      <c r="D3627" s="29"/>
    </row>
    <row r="3628" hidden="1">
      <c r="D3628" s="29"/>
    </row>
    <row r="3629" hidden="1">
      <c r="D3629" s="29"/>
    </row>
    <row r="3630" hidden="1">
      <c r="D3630" s="29"/>
    </row>
    <row r="3631" hidden="1">
      <c r="D3631" s="29"/>
    </row>
    <row r="3632" hidden="1">
      <c r="D3632" s="29"/>
    </row>
    <row r="3633" hidden="1">
      <c r="D3633" s="29"/>
    </row>
    <row r="3634" hidden="1">
      <c r="D3634" s="29"/>
    </row>
    <row r="3635" hidden="1">
      <c r="D3635" s="29"/>
    </row>
    <row r="3636" hidden="1">
      <c r="D3636" s="29"/>
    </row>
    <row r="3637" hidden="1">
      <c r="D3637" s="29"/>
    </row>
    <row r="3638" hidden="1">
      <c r="D3638" s="29"/>
    </row>
    <row r="3639" hidden="1">
      <c r="D3639" s="29"/>
    </row>
    <row r="3640" hidden="1">
      <c r="D3640" s="29"/>
    </row>
    <row r="3641" hidden="1">
      <c r="D3641" s="29"/>
    </row>
    <row r="3642" hidden="1">
      <c r="D3642" s="29"/>
    </row>
    <row r="3643" hidden="1">
      <c r="D3643" s="29"/>
    </row>
    <row r="3644" hidden="1">
      <c r="D3644" s="29"/>
    </row>
    <row r="3645" hidden="1">
      <c r="D3645" s="29"/>
    </row>
    <row r="3646" hidden="1">
      <c r="D3646" s="29"/>
    </row>
    <row r="3647" hidden="1">
      <c r="D3647" s="29"/>
    </row>
    <row r="3648" hidden="1">
      <c r="D3648" s="29"/>
    </row>
    <row r="3649" hidden="1">
      <c r="D3649" s="29"/>
    </row>
    <row r="3650" hidden="1">
      <c r="D3650" s="29"/>
    </row>
    <row r="3651" hidden="1">
      <c r="D3651" s="29"/>
    </row>
    <row r="3652" hidden="1">
      <c r="D3652" s="29"/>
    </row>
    <row r="3653" hidden="1">
      <c r="D3653" s="29"/>
    </row>
    <row r="3654" hidden="1">
      <c r="D3654" s="29"/>
    </row>
    <row r="3655" hidden="1">
      <c r="D3655" s="29"/>
    </row>
  </sheetData>
  <autoFilter ref="$A$3:$M$3655">
    <filterColumn colId="10">
      <filters>
        <filter val="Mpox; International"/>
        <filter val="Mpox"/>
        <filter val="MPox"/>
      </filters>
    </filterColumn>
  </autoFilter>
  <mergeCells count="2">
    <mergeCell ref="H1:J1"/>
    <mergeCell ref="F2:G2"/>
  </mergeCells>
  <conditionalFormatting sqref="A3:G1591 H3:J1830 K3:K1727 K1729:K1999">
    <cfRule type="expression" dxfId="0" priority="1">
      <formula>AND($A3&lt;&gt;"", $C3="", $D3="", $E3="", $F3="")</formula>
    </cfRule>
  </conditionalFormatting>
  <conditionalFormatting sqref="B2">
    <cfRule type="notContainsBlanks" dxfId="3" priority="2">
      <formula>LEN(TRIM(B2))&gt;0</formula>
    </cfRule>
  </conditionalFormatting>
  <conditionalFormatting sqref="A2">
    <cfRule type="notContainsBlanks" dxfId="3" priority="3">
      <formula>LEN(TRIM(A2))&gt;0</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0" t="s">
        <v>32</v>
      </c>
      <c r="B1" s="15"/>
      <c r="C1" s="15"/>
      <c r="D1" s="15"/>
      <c r="E1" s="61"/>
      <c r="F1" s="61"/>
      <c r="G1" s="61"/>
      <c r="H1" s="61"/>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row>
    <row r="2">
      <c r="A2" s="62" t="s">
        <v>33</v>
      </c>
      <c r="B2" s="62" t="s">
        <v>34</v>
      </c>
      <c r="C2" s="63" t="s">
        <v>35</v>
      </c>
      <c r="D2" s="64" t="s">
        <v>36</v>
      </c>
      <c r="E2" s="65" t="s">
        <v>37</v>
      </c>
      <c r="F2" s="65" t="s">
        <v>38</v>
      </c>
      <c r="G2" s="65" t="s">
        <v>39</v>
      </c>
      <c r="H2" s="65" t="s">
        <v>40</v>
      </c>
      <c r="I2" s="62" t="s">
        <v>41</v>
      </c>
      <c r="J2" s="62" t="s">
        <v>42</v>
      </c>
      <c r="K2" s="62" t="s">
        <v>43</v>
      </c>
      <c r="L2" s="62" t="s">
        <v>44</v>
      </c>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c r="CB2" s="66"/>
      <c r="CC2" s="66"/>
      <c r="CD2" s="66"/>
      <c r="CE2" s="66"/>
      <c r="CF2" s="66"/>
      <c r="CG2" s="66"/>
      <c r="CH2" s="66"/>
      <c r="CI2" s="66"/>
      <c r="CJ2" s="66"/>
      <c r="CK2" s="66"/>
      <c r="CL2" s="66"/>
      <c r="CM2" s="66"/>
      <c r="CN2" s="66"/>
      <c r="CO2" s="66"/>
      <c r="CP2" s="66"/>
      <c r="CQ2" s="66"/>
      <c r="CR2" s="66"/>
      <c r="CS2" s="66"/>
    </row>
    <row r="3">
      <c r="A3" s="67">
        <v>45537.0</v>
      </c>
      <c r="B3" s="15"/>
      <c r="C3" s="68"/>
      <c r="D3" s="68" t="s">
        <v>45</v>
      </c>
      <c r="E3" s="69" t="s">
        <v>46</v>
      </c>
      <c r="F3" s="69" t="s">
        <v>46</v>
      </c>
      <c r="G3" s="70" t="s">
        <v>47</v>
      </c>
      <c r="H3" s="70" t="s">
        <v>48</v>
      </c>
      <c r="I3" s="71" t="s">
        <v>49</v>
      </c>
      <c r="J3" s="71" t="s">
        <v>50</v>
      </c>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row>
    <row r="4">
      <c r="A4" s="72"/>
      <c r="B4" s="72"/>
      <c r="C4" s="73"/>
      <c r="D4" s="15"/>
      <c r="E4" s="61"/>
      <c r="F4" s="61"/>
      <c r="G4" s="61"/>
      <c r="H4" s="61"/>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5"/>
      <c r="CD4" s="15"/>
      <c r="CE4" s="15"/>
      <c r="CF4" s="15"/>
      <c r="CG4" s="15"/>
      <c r="CH4" s="15"/>
      <c r="CI4" s="15"/>
      <c r="CJ4" s="15"/>
      <c r="CK4" s="15"/>
      <c r="CL4" s="15"/>
      <c r="CM4" s="15"/>
      <c r="CN4" s="15"/>
      <c r="CO4" s="15"/>
      <c r="CP4" s="15"/>
      <c r="CQ4" s="15"/>
      <c r="CR4" s="15"/>
      <c r="CS4" s="15"/>
    </row>
  </sheetData>
  <hyperlinks>
    <hyperlink r:id="rId1" location="gid=1558813663&amp;range=A1" ref="D2"/>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13"/>
    <col customWidth="1" min="3" max="3" width="61.75"/>
    <col customWidth="1" min="5" max="5" width="46.5"/>
    <col customWidth="1" min="7" max="7" width="70.13"/>
    <col customWidth="1" min="9" max="9" width="38.75"/>
    <col customWidth="1" min="10" max="10" width="26.13"/>
    <col customWidth="1" min="11" max="11" width="34.0"/>
    <col customWidth="1" min="13" max="13" width="44.25"/>
    <col customWidth="1" min="15" max="15" width="42.13"/>
    <col customWidth="1" min="17" max="17" width="35.88"/>
    <col customWidth="1" min="19" max="19" width="35.13"/>
    <col customWidth="1" min="21" max="21" width="39.63"/>
    <col customWidth="1" min="23" max="23" width="38.25"/>
    <col customWidth="1" min="25" max="25" width="55.0"/>
    <col customWidth="1" min="27" max="27" width="50.25"/>
    <col customWidth="1" min="29" max="29" width="46.63"/>
    <col customWidth="1" min="31" max="31" width="40.38"/>
    <col customWidth="1" min="33" max="33" width="34.0"/>
    <col customWidth="1" min="35" max="35" width="36.38"/>
    <col customWidth="1" min="37" max="37" width="34.25"/>
    <col customWidth="1" min="39" max="39" width="53.5"/>
    <col customWidth="1" min="41" max="41" width="36.0"/>
    <col customWidth="1" min="43" max="43" width="37.75"/>
    <col customWidth="1" min="45" max="45" width="33.38"/>
    <col customWidth="1" min="47" max="47" width="37.38"/>
    <col customWidth="1" min="49" max="49" width="40.25"/>
    <col customWidth="1" min="51" max="51" width="51.13"/>
    <col customWidth="1" min="53" max="53" width="35.0"/>
    <col customWidth="1" min="54" max="54" width="20.25"/>
    <col customWidth="1" min="55" max="55" width="53.0"/>
    <col customWidth="1" min="57" max="57" width="36.75"/>
    <col customWidth="1" min="58" max="58" width="24.75"/>
    <col customWidth="1" min="59" max="59" width="38.75"/>
    <col customWidth="1" min="61" max="61" width="49.63"/>
    <col customWidth="1" min="63" max="63" width="34.75"/>
    <col customWidth="1" min="65" max="65" width="61.25"/>
    <col customWidth="1" min="67" max="67" width="40.5"/>
    <col customWidth="1" min="69" max="69" width="35.5"/>
    <col customWidth="1" min="71" max="71" width="49.13"/>
    <col customWidth="1" min="73" max="73" width="37.5"/>
    <col customWidth="1" min="75" max="75" width="37.63"/>
  </cols>
  <sheetData>
    <row r="1">
      <c r="A1" s="74" t="s">
        <v>51</v>
      </c>
      <c r="B1" s="75"/>
      <c r="C1" s="74" t="s">
        <v>52</v>
      </c>
      <c r="D1" s="75"/>
      <c r="E1" s="74" t="s">
        <v>53</v>
      </c>
      <c r="F1" s="75"/>
      <c r="G1" s="74" t="s">
        <v>54</v>
      </c>
      <c r="H1" s="75"/>
      <c r="I1" s="74" t="s">
        <v>55</v>
      </c>
      <c r="J1" s="75"/>
      <c r="K1" s="74" t="s">
        <v>56</v>
      </c>
      <c r="L1" s="75"/>
      <c r="M1" s="74" t="s">
        <v>57</v>
      </c>
      <c r="N1" s="75"/>
      <c r="O1" s="74" t="s">
        <v>58</v>
      </c>
      <c r="P1" s="75"/>
      <c r="Q1" s="74" t="s">
        <v>59</v>
      </c>
      <c r="R1" s="75"/>
      <c r="S1" s="74" t="s">
        <v>60</v>
      </c>
      <c r="T1" s="76"/>
      <c r="U1" s="74" t="s">
        <v>61</v>
      </c>
      <c r="V1" s="75"/>
      <c r="W1" s="74" t="s">
        <v>62</v>
      </c>
      <c r="X1" s="75"/>
      <c r="Y1" s="74" t="s">
        <v>63</v>
      </c>
      <c r="Z1" s="75"/>
      <c r="AA1" s="74" t="s">
        <v>64</v>
      </c>
      <c r="AB1" s="75"/>
      <c r="AC1" s="74" t="s">
        <v>65</v>
      </c>
      <c r="AD1" s="75"/>
      <c r="AE1" s="74" t="s">
        <v>66</v>
      </c>
      <c r="AF1" s="76"/>
      <c r="AG1" s="74" t="s">
        <v>67</v>
      </c>
      <c r="AH1" s="76"/>
      <c r="AI1" s="74" t="s">
        <v>68</v>
      </c>
      <c r="AJ1" s="75"/>
      <c r="AK1" s="74" t="s">
        <v>69</v>
      </c>
      <c r="AL1" s="75"/>
      <c r="AM1" s="74" t="s">
        <v>70</v>
      </c>
      <c r="AN1" s="75"/>
      <c r="AO1" s="74" t="s">
        <v>71</v>
      </c>
      <c r="AP1" s="75"/>
      <c r="AQ1" s="74" t="s">
        <v>72</v>
      </c>
      <c r="AR1" s="75"/>
      <c r="AS1" s="74" t="s">
        <v>73</v>
      </c>
      <c r="AT1" s="75"/>
      <c r="AU1" s="74" t="s">
        <v>74</v>
      </c>
      <c r="AV1" s="75"/>
      <c r="AW1" s="74" t="s">
        <v>75</v>
      </c>
      <c r="AX1" s="75"/>
      <c r="AY1" s="74" t="s">
        <v>76</v>
      </c>
      <c r="AZ1" s="75"/>
      <c r="BA1" s="74" t="s">
        <v>77</v>
      </c>
      <c r="BB1" s="75"/>
      <c r="BC1" s="74" t="s">
        <v>78</v>
      </c>
      <c r="BD1" s="75"/>
      <c r="BE1" s="74" t="s">
        <v>79</v>
      </c>
      <c r="BF1" s="75"/>
      <c r="BG1" s="74" t="s">
        <v>80</v>
      </c>
      <c r="BH1" s="75"/>
      <c r="BI1" s="74" t="s">
        <v>81</v>
      </c>
      <c r="BJ1" s="75"/>
      <c r="BK1" s="74" t="s">
        <v>82</v>
      </c>
      <c r="BL1" s="75"/>
      <c r="BM1" s="74" t="s">
        <v>83</v>
      </c>
      <c r="BN1" s="75"/>
      <c r="BO1" s="74" t="s">
        <v>84</v>
      </c>
      <c r="BP1" s="75"/>
      <c r="BQ1" s="74" t="s">
        <v>85</v>
      </c>
      <c r="BR1" s="76"/>
      <c r="BS1" s="74" t="s">
        <v>86</v>
      </c>
      <c r="BT1" s="76"/>
      <c r="BU1" s="74" t="s">
        <v>87</v>
      </c>
      <c r="BV1" s="76"/>
      <c r="BW1" s="74" t="s">
        <v>88</v>
      </c>
      <c r="BX1" s="76"/>
    </row>
    <row r="2">
      <c r="A2" s="76" t="str">
        <f t="shared" ref="A2:A272" si="1">CONCATENATE('Term Reference Guide (in-progress)'!B359," [",'Term Reference Guide (in-progress)'!C359,"]")</f>
        <v>#REF!</v>
      </c>
      <c r="B2" s="75"/>
      <c r="C2" s="76" t="str">
        <f t="shared" ref="C2:C4" si="2">CONCATENATE('Term Reference Guide (in-progress)'!B786," [",'Term Reference Guide (in-progress)'!C786,"]")</f>
        <v>#REF!</v>
      </c>
      <c r="D2" s="75"/>
      <c r="E2" s="76" t="str">
        <f t="shared" ref="E2:E4" si="3">CONCATENATE('Term Reference Guide (in-progress)'!B888," [",'Term Reference Guide (in-progress)'!C888,"]")</f>
        <v>#REF!</v>
      </c>
      <c r="F2" s="76"/>
      <c r="G2" s="77" t="str">
        <f t="shared" ref="G2:G26" si="4">CONCATENATE('Term Reference Guide (in-progress)'!B893," [",'Term Reference Guide (in-progress)'!C893,"]")</f>
        <v>#REF!</v>
      </c>
      <c r="H2" s="75"/>
      <c r="I2" s="76" t="s">
        <v>89</v>
      </c>
      <c r="J2" s="75"/>
      <c r="K2" s="77" t="s">
        <v>90</v>
      </c>
      <c r="L2" s="75"/>
      <c r="M2" s="76" t="str">
        <f t="shared" ref="M2:M10" si="5">CONCATENATE('Term Reference Guide (in-progress)'!B9," [",'Term Reference Guide (in-progress)'!C9,"]")</f>
        <v>#REF!</v>
      </c>
      <c r="N2" s="75"/>
      <c r="O2" s="76" t="str">
        <f t="shared" ref="O2:O26" si="6">CONCATENATE('Term Reference Guide (in-progress)'!B19," [",'Term Reference Guide (in-progress)'!C19,"]")</f>
        <v>#REF!</v>
      </c>
      <c r="P2" s="75"/>
      <c r="Q2" s="76" t="str">
        <f t="shared" ref="Q2:Q9" si="7">CONCATENATE('Term Reference Guide (in-progress)'!B51," [",'Term Reference Guide (in-progress)'!C51,"]")</f>
        <v>#REF!</v>
      </c>
      <c r="R2" s="75"/>
      <c r="S2" s="76" t="str">
        <f t="shared" ref="S2:S34" si="8">CONCATENATE('Term Reference Guide (in-progress)'!B180," [",'Term Reference Guide (in-progress)'!C180,"]")</f>
        <v>#REF!</v>
      </c>
      <c r="T2" s="75"/>
      <c r="U2" s="76" t="str">
        <f t="shared" ref="U2:U22" si="9">CONCATENATE('Term Reference Guide (in-progress)'!B214," [",'Term Reference Guide (in-progress)'!C214,"]")</f>
        <v>#REF!</v>
      </c>
      <c r="V2" s="75"/>
      <c r="W2" s="76" t="str">
        <f t="shared" ref="W2:W18" si="10">CONCATENATE('Term Reference Guide (in-progress)'!B60," [",'Term Reference Guide (in-progress)'!C60,"]")</f>
        <v>#REF!</v>
      </c>
      <c r="X2" s="75"/>
      <c r="Y2" s="76" t="str">
        <f t="shared" ref="Y2:Y22" si="11">CONCATENATE('Term Reference Guide (in-progress)'!B78," [",'Term Reference Guide (in-progress)'!C78,"]")</f>
        <v>#REF!</v>
      </c>
      <c r="Z2" s="75"/>
      <c r="AA2" s="76" t="str">
        <f t="shared" ref="AA2:AA5" si="12">CONCATENATE('Term Reference Guide (in-progress)'!B1123," [",'Term Reference Guide (in-progress)'!C1123,"]")</f>
        <v>#REF!</v>
      </c>
      <c r="AB2" s="75"/>
      <c r="AC2" s="76" t="str">
        <f t="shared" ref="AC2:AC17" si="13">CONCATENATE(#REF!," [",#REF!,"]")</f>
        <v>#REF!</v>
      </c>
      <c r="AD2" s="75"/>
      <c r="AE2" s="76" t="str">
        <f t="shared" ref="AE2:AE6" si="14">CONCATENATE(#REF!," [",#REF!,"]")</f>
        <v>#REF!</v>
      </c>
      <c r="AF2" s="75"/>
      <c r="AG2" s="76" t="str">
        <f t="shared" ref="AG2:AG14" si="15">CONCATENATE('Term Reference Guide (in-progress)'!B645," [",'Term Reference Guide (in-progress)'!C645,"]")</f>
        <v>#REF!</v>
      </c>
      <c r="AH2" s="75"/>
      <c r="AI2" s="76" t="str">
        <f t="shared" ref="AI2:AI17" si="16">CONCATENATE('Term Reference Guide (in-progress)'!B659," [",'Term Reference Guide (in-progress)'!C659,"]")</f>
        <v>#REF!</v>
      </c>
      <c r="AJ2" s="75"/>
      <c r="AK2" s="76" t="str">
        <f t="shared" ref="AK2:AK6" si="17">CONCATENATE('Term Reference Guide (in-progress)'!B705," [",'Term Reference Guide (in-progress)'!C705,"]")</f>
        <v>#REF!</v>
      </c>
      <c r="AL2" s="75"/>
      <c r="AM2" s="76" t="str">
        <f t="shared" ref="AM2:AM8" si="18">CONCATENATE('Term Reference Guide (in-progress)'!B711," [",'Term Reference Guide (in-progress)'!C711,"]")</f>
        <v>#REF!</v>
      </c>
      <c r="AN2" s="75"/>
      <c r="AO2" s="76" t="str">
        <f t="shared" ref="AO2:AO5" si="19">CONCATENATE('Term Reference Guide (in-progress)'!B700," [",'Term Reference Guide (in-progress)'!C700,"]")</f>
        <v>#REF!</v>
      </c>
      <c r="AP2" s="75"/>
      <c r="AQ2" s="76" t="str">
        <f>CONCATENATE('Term Reference Guide (in-progress)'!B691," [",'Term Reference Guide (in-progress)'!C691,"]")</f>
        <v>#REF!</v>
      </c>
      <c r="AR2" s="75"/>
      <c r="AS2" s="76" t="str">
        <f t="shared" ref="AS2:AS3" si="20">CONCATENATE('Term Reference Guide (in-progress)'!B688," [",'Term Reference Guide (in-progress)'!C688,"]")</f>
        <v>#REF!</v>
      </c>
      <c r="AT2" s="75"/>
      <c r="AU2" s="76" t="str">
        <f t="shared" ref="AU2:AU12" si="21">CONCATENATE('Term Reference Guide (in-progress)'!B676," [",'Term Reference Guide (in-progress)'!C676,"]")</f>
        <v>#REF!</v>
      </c>
      <c r="AV2" s="75"/>
      <c r="AW2" s="76" t="str">
        <f t="shared" ref="AW2:AW7" si="22">CONCATENATE('Term Reference Guide (in-progress)'!B693," [",'Term Reference Guide (in-progress)'!C693,"]")</f>
        <v>#REF!</v>
      </c>
      <c r="AX2" s="75"/>
      <c r="AY2" s="76" t="str">
        <f t="shared" ref="AY2:AY88" si="23">CONCATENATE('Term Reference Guide (in-progress)'!B1035," [",'Term Reference Guide (in-progress)'!C1035,"]")</f>
        <v>#REF!</v>
      </c>
      <c r="AZ2" s="75"/>
      <c r="BA2" s="76" t="str">
        <f t="shared" ref="BA2:BA92" si="24">CONCATENATE('Term Reference Guide (in-progress)'!B790," [",'Term Reference Guide (in-progress)'!C790,"]")</f>
        <v>#REF!</v>
      </c>
      <c r="BB2" s="75"/>
      <c r="BC2" s="76" t="str">
        <f t="shared" ref="BC2:BC79" si="25">CONCATENATE(#REF!," [",#REF!,"]")</f>
        <v>#REF!</v>
      </c>
      <c r="BD2" s="75"/>
      <c r="BE2" s="76" t="str">
        <f t="shared" ref="BE2:BE3" si="26">CONCATENATE('Term Reference Guide (in-progress)'!B760," [",'Term Reference Guide (in-progress)'!C760,"]")</f>
        <v>#REF!</v>
      </c>
      <c r="BF2" s="75"/>
      <c r="BG2" s="77" t="str">
        <f>CONCATENATE('Term Reference Guide (in-progress)'!B242," [",'Term Reference Guide (in-progress)'!C242,"]")</f>
        <v>#REF!</v>
      </c>
      <c r="BH2" s="75"/>
      <c r="BI2" s="78" t="s">
        <v>91</v>
      </c>
      <c r="BJ2" s="75"/>
      <c r="BK2" s="77" t="str">
        <f t="shared" ref="BK2:BK12" si="27">CONCATENATE('Term Reference Guide (in-progress)'!B719," [",'Term Reference Guide (in-progress)'!C719,"]")</f>
        <v>#REF!</v>
      </c>
      <c r="BL2" s="75"/>
      <c r="BM2" s="77" t="str">
        <f t="shared" ref="BM2:BM63" si="28">CONCATENATE('Term Reference Guide (in-progress)'!B262," [",'Term Reference Guide (in-progress)'!C262,"]")</f>
        <v>#REF!</v>
      </c>
      <c r="BN2" s="75"/>
      <c r="BO2" s="76" t="str">
        <f t="shared" ref="BO2:BO3" si="29">CONCATENATE('Term Reference Guide (in-progress)'!B882," [",'Term Reference Guide (in-progress)'!C882,"]")</f>
        <v>#REF!</v>
      </c>
      <c r="BP2" s="75"/>
      <c r="BQ2" s="76" t="str">
        <f t="shared" ref="BQ2:BQ3" si="30">CONCATENATE('Term Reference Guide (in-progress)'!B885," [",'Term Reference Guide (in-progress)'!C885,"]")</f>
        <v>#REF!</v>
      </c>
      <c r="BR2" s="75"/>
      <c r="BS2" s="77" t="str">
        <f t="shared" ref="BS2:BS47" si="31">CONCATENATE('Term Reference Guide (in-progress)'!B988," [",'Term Reference Guide (in-progress)'!C988,"]")</f>
        <v>#REF!</v>
      </c>
      <c r="BT2" s="75"/>
      <c r="BU2" s="75" t="str">
        <f t="shared" ref="BU2:BU34" si="32">CONCATENATE('Term Reference Guide (in-progress)'!B325," [",'Term Reference Guide (in-progress)'!C325,"]")</f>
        <v>#REF!</v>
      </c>
      <c r="BV2" s="79"/>
      <c r="BW2" s="75" t="str">
        <f t="shared" ref="BW2:BW4" si="33">CONCATENATE('Term Reference Guide (in-progress)'!B1134," [",'Term Reference Guide (in-progress)'!C1134,"]")</f>
        <v>#REF!</v>
      </c>
      <c r="BX2" s="76"/>
    </row>
    <row r="3">
      <c r="A3" s="76" t="str">
        <f t="shared" si="1"/>
        <v>#REF!</v>
      </c>
      <c r="B3" s="75"/>
      <c r="C3" s="76" t="str">
        <f t="shared" si="2"/>
        <v>#REF!</v>
      </c>
      <c r="D3" s="76"/>
      <c r="E3" s="76" t="str">
        <f t="shared" si="3"/>
        <v>#REF!</v>
      </c>
      <c r="F3" s="75"/>
      <c r="G3" s="77" t="str">
        <f t="shared" si="4"/>
        <v>#REF!</v>
      </c>
      <c r="H3" s="75"/>
      <c r="I3" s="76" t="s">
        <v>92</v>
      </c>
      <c r="J3" s="75"/>
      <c r="K3" s="77" t="s">
        <v>93</v>
      </c>
      <c r="L3" s="75"/>
      <c r="M3" s="76" t="str">
        <f t="shared" si="5"/>
        <v>#REF!</v>
      </c>
      <c r="N3" s="75"/>
      <c r="O3" s="76" t="str">
        <f t="shared" si="6"/>
        <v>#REF!</v>
      </c>
      <c r="P3" s="75"/>
      <c r="Q3" s="76" t="str">
        <f t="shared" si="7"/>
        <v>#REF!</v>
      </c>
      <c r="R3" s="75"/>
      <c r="S3" s="76" t="str">
        <f t="shared" si="8"/>
        <v>#REF!</v>
      </c>
      <c r="T3" s="75"/>
      <c r="U3" s="76" t="str">
        <f t="shared" si="9"/>
        <v>#REF!</v>
      </c>
      <c r="V3" s="75"/>
      <c r="W3" s="76" t="str">
        <f t="shared" si="10"/>
        <v>#REF!</v>
      </c>
      <c r="X3" s="75"/>
      <c r="Y3" s="76" t="str">
        <f t="shared" si="11"/>
        <v>#REF!</v>
      </c>
      <c r="Z3" s="75"/>
      <c r="AA3" s="76" t="str">
        <f t="shared" si="12"/>
        <v>#REF!</v>
      </c>
      <c r="AB3" s="76"/>
      <c r="AC3" s="76" t="str">
        <f t="shared" si="13"/>
        <v>#REF!</v>
      </c>
      <c r="AD3" s="75"/>
      <c r="AE3" s="76" t="str">
        <f t="shared" si="14"/>
        <v>#REF!</v>
      </c>
      <c r="AF3" s="75"/>
      <c r="AG3" s="76" t="str">
        <f t="shared" si="15"/>
        <v>#REF!</v>
      </c>
      <c r="AH3" s="75"/>
      <c r="AI3" s="76" t="str">
        <f t="shared" si="16"/>
        <v>#REF!</v>
      </c>
      <c r="AJ3" s="75"/>
      <c r="AK3" s="76" t="str">
        <f t="shared" si="17"/>
        <v>#REF!</v>
      </c>
      <c r="AL3" s="75"/>
      <c r="AM3" s="76" t="str">
        <f t="shared" si="18"/>
        <v>#REF!</v>
      </c>
      <c r="AN3" s="75"/>
      <c r="AO3" s="76" t="str">
        <f t="shared" si="19"/>
        <v>#REF!</v>
      </c>
      <c r="AP3" s="75"/>
      <c r="AQ3" s="76" t="str">
        <f t="shared" ref="AQ3:AQ7" si="34">CONCATENATE('Term Reference Guide (in-progress)'!B3," [",'Term Reference Guide (in-progress)'!C3,"]")</f>
        <v>#REF!</v>
      </c>
      <c r="AR3" s="75"/>
      <c r="AS3" s="76" t="str">
        <f t="shared" si="20"/>
        <v>#REF!</v>
      </c>
      <c r="AT3" s="75"/>
      <c r="AU3" s="76" t="str">
        <f t="shared" si="21"/>
        <v>#REF!</v>
      </c>
      <c r="AV3" s="75"/>
      <c r="AW3" s="76" t="str">
        <f t="shared" si="22"/>
        <v>#REF!</v>
      </c>
      <c r="AX3" s="75"/>
      <c r="AY3" s="76" t="str">
        <f t="shared" si="23"/>
        <v>#REF!</v>
      </c>
      <c r="AZ3" s="75"/>
      <c r="BA3" s="76" t="str">
        <f t="shared" si="24"/>
        <v>#REF!</v>
      </c>
      <c r="BB3" s="75"/>
      <c r="BC3" s="76" t="str">
        <f t="shared" si="25"/>
        <v>#REF!</v>
      </c>
      <c r="BD3" s="75"/>
      <c r="BE3" s="76" t="str">
        <f t="shared" si="26"/>
        <v>#REF!</v>
      </c>
      <c r="BF3" s="75"/>
      <c r="BG3" s="77" t="str">
        <f t="shared" ref="BG3:BG4" si="35">CONCATENATE('Term Reference Guide (in-progress)'!B244," [",'Term Reference Guide (in-progress)'!C244,"]")</f>
        <v>#REF!</v>
      </c>
      <c r="BH3" s="75"/>
      <c r="BI3" s="76" t="str">
        <f t="shared" ref="BI3:BI6" si="36">CONCATENATE('Term Reference Guide (in-progress)'!B237," [",'Term Reference Guide (in-progress)'!C237,"]")</f>
        <v>#REF!</v>
      </c>
      <c r="BJ3" s="75"/>
      <c r="BK3" s="77" t="str">
        <f t="shared" si="27"/>
        <v>#REF!</v>
      </c>
      <c r="BL3" s="75"/>
      <c r="BM3" s="77" t="str">
        <f t="shared" si="28"/>
        <v>#REF!</v>
      </c>
      <c r="BN3" s="75"/>
      <c r="BO3" s="76" t="str">
        <f t="shared" si="29"/>
        <v>#REF!</v>
      </c>
      <c r="BP3" s="75"/>
      <c r="BQ3" s="76" t="str">
        <f t="shared" si="30"/>
        <v>#REF!</v>
      </c>
      <c r="BR3" s="75"/>
      <c r="BS3" s="77" t="str">
        <f t="shared" si="31"/>
        <v>#REF!</v>
      </c>
      <c r="BT3" s="75"/>
      <c r="BU3" s="75" t="str">
        <f t="shared" si="32"/>
        <v>#REF!</v>
      </c>
      <c r="BV3" s="76"/>
      <c r="BW3" s="75" t="str">
        <f t="shared" si="33"/>
        <v>#REF!</v>
      </c>
      <c r="BX3" s="76"/>
    </row>
    <row r="4">
      <c r="A4" s="76" t="str">
        <f t="shared" si="1"/>
        <v>#REF!</v>
      </c>
      <c r="B4" s="75"/>
      <c r="C4" s="76" t="str">
        <f t="shared" si="2"/>
        <v>#REF!</v>
      </c>
      <c r="D4" s="75"/>
      <c r="E4" s="76" t="str">
        <f t="shared" si="3"/>
        <v>#REF!</v>
      </c>
      <c r="F4" s="75"/>
      <c r="G4" s="77" t="str">
        <f t="shared" si="4"/>
        <v>#REF!</v>
      </c>
      <c r="H4" s="75"/>
      <c r="I4" s="76" t="s">
        <v>94</v>
      </c>
      <c r="J4" s="75"/>
      <c r="K4" s="77" t="str">
        <f t="shared" ref="K4:K8" si="37">CONCATENATE('Term Reference Guide (in-progress)'!B3," [",'Term Reference Guide (in-progress)'!C3,"]")</f>
        <v>#REF!</v>
      </c>
      <c r="L4" s="75"/>
      <c r="M4" s="76" t="str">
        <f t="shared" si="5"/>
        <v>#REF!</v>
      </c>
      <c r="N4" s="76"/>
      <c r="O4" s="76" t="str">
        <f t="shared" si="6"/>
        <v>#REF!</v>
      </c>
      <c r="P4" s="75"/>
      <c r="Q4" s="76" t="str">
        <f t="shared" si="7"/>
        <v>#REF!</v>
      </c>
      <c r="R4" s="75"/>
      <c r="S4" s="76" t="str">
        <f t="shared" si="8"/>
        <v>#REF!</v>
      </c>
      <c r="T4" s="75"/>
      <c r="U4" s="76" t="str">
        <f t="shared" si="9"/>
        <v>#REF!</v>
      </c>
      <c r="V4" s="75"/>
      <c r="W4" s="76" t="str">
        <f t="shared" si="10"/>
        <v>#REF!</v>
      </c>
      <c r="X4" s="75"/>
      <c r="Y4" s="76" t="str">
        <f t="shared" si="11"/>
        <v>#REF!</v>
      </c>
      <c r="Z4" s="75"/>
      <c r="AA4" s="76" t="str">
        <f t="shared" si="12"/>
        <v>#REF!</v>
      </c>
      <c r="AB4" s="75"/>
      <c r="AC4" s="76" t="str">
        <f t="shared" si="13"/>
        <v>#REF!</v>
      </c>
      <c r="AD4" s="75"/>
      <c r="AE4" s="76" t="str">
        <f t="shared" si="14"/>
        <v>#REF!</v>
      </c>
      <c r="AF4" s="75"/>
      <c r="AG4" s="76" t="str">
        <f t="shared" si="15"/>
        <v>#REF!</v>
      </c>
      <c r="AH4" s="75"/>
      <c r="AI4" s="76" t="str">
        <f t="shared" si="16"/>
        <v>#REF!</v>
      </c>
      <c r="AJ4" s="75"/>
      <c r="AK4" s="76" t="str">
        <f t="shared" si="17"/>
        <v>#REF!</v>
      </c>
      <c r="AL4" s="75"/>
      <c r="AM4" s="76" t="str">
        <f t="shared" si="18"/>
        <v>#REF!</v>
      </c>
      <c r="AN4" s="75"/>
      <c r="AO4" s="76" t="str">
        <f t="shared" si="19"/>
        <v>#REF!</v>
      </c>
      <c r="AP4" s="75"/>
      <c r="AQ4" s="76" t="str">
        <f t="shared" si="34"/>
        <v>#REF!</v>
      </c>
      <c r="AR4" s="75"/>
      <c r="AS4" s="76" t="str">
        <f t="shared" ref="AS4:AS8" si="38">CONCATENATE('Term Reference Guide (in-progress)'!B3," [",'Term Reference Guide (in-progress)'!C3,"]")</f>
        <v>#REF!</v>
      </c>
      <c r="AT4" s="75"/>
      <c r="AU4" s="76" t="str">
        <f t="shared" si="21"/>
        <v>#REF!</v>
      </c>
      <c r="AV4" s="75"/>
      <c r="AW4" s="76" t="str">
        <f t="shared" si="22"/>
        <v>#REF!</v>
      </c>
      <c r="AX4" s="75"/>
      <c r="AY4" s="76" t="str">
        <f t="shared" si="23"/>
        <v>#REF!</v>
      </c>
      <c r="AZ4" s="75"/>
      <c r="BA4" s="76" t="str">
        <f t="shared" si="24"/>
        <v>#REF!</v>
      </c>
      <c r="BB4" s="75"/>
      <c r="BC4" s="76" t="str">
        <f t="shared" si="25"/>
        <v>#REF!</v>
      </c>
      <c r="BE4" s="76" t="s">
        <v>95</v>
      </c>
      <c r="BF4" s="75"/>
      <c r="BG4" s="77" t="str">
        <f t="shared" si="35"/>
        <v>#REF!</v>
      </c>
      <c r="BH4" s="75"/>
      <c r="BI4" s="76" t="str">
        <f t="shared" si="36"/>
        <v>#REF!</v>
      </c>
      <c r="BJ4" s="75"/>
      <c r="BK4" s="77" t="str">
        <f t="shared" si="27"/>
        <v>#REF!</v>
      </c>
      <c r="BL4" s="75"/>
      <c r="BM4" s="77" t="str">
        <f t="shared" si="28"/>
        <v>#REF!</v>
      </c>
      <c r="BN4" s="75"/>
      <c r="BO4" s="77" t="s">
        <v>96</v>
      </c>
      <c r="BP4" s="75"/>
      <c r="BQ4" s="77" t="s">
        <v>96</v>
      </c>
      <c r="BR4" s="75"/>
      <c r="BS4" s="77" t="str">
        <f t="shared" si="31"/>
        <v>#REF!</v>
      </c>
      <c r="BT4" s="75"/>
      <c r="BU4" s="75" t="str">
        <f t="shared" si="32"/>
        <v>#REF!</v>
      </c>
      <c r="BV4" s="76"/>
      <c r="BW4" s="75" t="str">
        <f t="shared" si="33"/>
        <v>#REF!</v>
      </c>
      <c r="BX4" s="76"/>
    </row>
    <row r="5">
      <c r="A5" s="76" t="str">
        <f t="shared" si="1"/>
        <v>#REF!</v>
      </c>
      <c r="B5" s="75"/>
      <c r="C5" s="76" t="str">
        <f t="shared" ref="C5:C9" si="39">CONCATENATE('Term Reference Guide (in-progress)'!B3," [",'Term Reference Guide (in-progress)'!C3,"]")</f>
        <v>#REF!</v>
      </c>
      <c r="D5" s="75"/>
      <c r="E5" s="76" t="str">
        <f>CONCATENATE(#REF!," [",#REF!,"]")</f>
        <v>#REF!</v>
      </c>
      <c r="F5" s="75"/>
      <c r="G5" s="77" t="str">
        <f t="shared" si="4"/>
        <v>#REF!</v>
      </c>
      <c r="H5" s="75"/>
      <c r="I5" s="76" t="s">
        <v>97</v>
      </c>
      <c r="J5" s="75"/>
      <c r="K5" s="77" t="str">
        <f t="shared" si="37"/>
        <v>#REF!</v>
      </c>
      <c r="L5" s="75"/>
      <c r="M5" s="76" t="str">
        <f t="shared" si="5"/>
        <v>#REF!</v>
      </c>
      <c r="N5" s="75"/>
      <c r="O5" s="76" t="str">
        <f t="shared" si="6"/>
        <v>#REF!</v>
      </c>
      <c r="P5" s="75"/>
      <c r="Q5" s="76" t="str">
        <f t="shared" si="7"/>
        <v>#REF!</v>
      </c>
      <c r="R5" s="75"/>
      <c r="S5" s="76" t="str">
        <f t="shared" si="8"/>
        <v>#REF!</v>
      </c>
      <c r="T5" s="75"/>
      <c r="U5" s="76" t="str">
        <f t="shared" si="9"/>
        <v>#REF!</v>
      </c>
      <c r="V5" s="75"/>
      <c r="W5" s="76" t="str">
        <f t="shared" si="10"/>
        <v>#REF!</v>
      </c>
      <c r="X5" s="75"/>
      <c r="Y5" s="76" t="str">
        <f t="shared" si="11"/>
        <v>#REF!</v>
      </c>
      <c r="Z5" s="75"/>
      <c r="AA5" s="76" t="str">
        <f t="shared" si="12"/>
        <v>#REF!</v>
      </c>
      <c r="AB5" s="75"/>
      <c r="AC5" s="76" t="str">
        <f t="shared" si="13"/>
        <v>#REF!</v>
      </c>
      <c r="AD5" s="75"/>
      <c r="AE5" s="76" t="str">
        <f t="shared" si="14"/>
        <v>#REF!</v>
      </c>
      <c r="AF5" s="76"/>
      <c r="AG5" s="76" t="str">
        <f t="shared" si="15"/>
        <v>#REF!</v>
      </c>
      <c r="AH5" s="75"/>
      <c r="AI5" s="76" t="str">
        <f t="shared" si="16"/>
        <v>#REF!</v>
      </c>
      <c r="AJ5" s="75"/>
      <c r="AK5" s="76" t="str">
        <f t="shared" si="17"/>
        <v>#REF!</v>
      </c>
      <c r="AL5" s="75"/>
      <c r="AM5" s="76" t="str">
        <f t="shared" si="18"/>
        <v>#REF!</v>
      </c>
      <c r="AN5" s="75"/>
      <c r="AO5" s="76" t="str">
        <f t="shared" si="19"/>
        <v>#REF!</v>
      </c>
      <c r="AP5" s="75"/>
      <c r="AQ5" s="76" t="str">
        <f t="shared" si="34"/>
        <v>#REF!</v>
      </c>
      <c r="AR5" s="75"/>
      <c r="AS5" s="76" t="str">
        <f t="shared" si="38"/>
        <v>#REF!</v>
      </c>
      <c r="AT5" s="75"/>
      <c r="AU5" s="76" t="str">
        <f t="shared" si="21"/>
        <v>#REF!</v>
      </c>
      <c r="AV5" s="75"/>
      <c r="AW5" s="76" t="str">
        <f t="shared" si="22"/>
        <v>#REF!</v>
      </c>
      <c r="AX5" s="75"/>
      <c r="AY5" s="76" t="str">
        <f t="shared" si="23"/>
        <v>#REF!</v>
      </c>
      <c r="AZ5" s="75"/>
      <c r="BA5" s="76" t="str">
        <f t="shared" si="24"/>
        <v>#REF!</v>
      </c>
      <c r="BB5" s="75"/>
      <c r="BC5" s="76" t="str">
        <f t="shared" si="25"/>
        <v>#REF!</v>
      </c>
      <c r="BE5" s="77" t="str">
        <f t="shared" ref="BE5:BE9" si="40">CONCATENATE('Term Reference Guide (in-progress)'!B3," [",'Term Reference Guide (in-progress)'!C3,"]")</f>
        <v>#REF!</v>
      </c>
      <c r="BF5" s="75"/>
      <c r="BG5" s="77" t="str">
        <f>CONCATENATE('Term Reference Guide (in-progress)'!B243," [",'Term Reference Guide (in-progress)'!C243,"]")</f>
        <v>#REF!</v>
      </c>
      <c r="BH5" s="75"/>
      <c r="BI5" s="76" t="str">
        <f t="shared" si="36"/>
        <v>#REF!</v>
      </c>
      <c r="BJ5" s="75"/>
      <c r="BK5" s="77" t="str">
        <f t="shared" si="27"/>
        <v>#REF!</v>
      </c>
      <c r="BL5" s="75"/>
      <c r="BM5" s="77" t="str">
        <f t="shared" si="28"/>
        <v>#REF!</v>
      </c>
      <c r="BN5" s="75"/>
      <c r="BO5" s="77" t="s">
        <v>98</v>
      </c>
      <c r="BP5" s="75"/>
      <c r="BQ5" s="77" t="s">
        <v>98</v>
      </c>
      <c r="BR5" s="75"/>
      <c r="BS5" s="77" t="str">
        <f t="shared" si="31"/>
        <v>#REF!</v>
      </c>
      <c r="BT5" s="75"/>
      <c r="BU5" s="75" t="str">
        <f t="shared" si="32"/>
        <v>#REF!</v>
      </c>
      <c r="BV5" s="76"/>
      <c r="BW5" s="75"/>
      <c r="BX5" s="75"/>
    </row>
    <row r="6">
      <c r="A6" s="76" t="str">
        <f t="shared" si="1"/>
        <v>#REF!</v>
      </c>
      <c r="B6" s="75"/>
      <c r="C6" s="76" t="str">
        <f t="shared" si="39"/>
        <v>#REF!</v>
      </c>
      <c r="D6" s="75"/>
      <c r="E6" s="76" t="str">
        <f>CONCATENATE('Term Reference Guide (in-progress)'!B891," [",'Term Reference Guide (in-progress)'!C891,"]")</f>
        <v>#REF!</v>
      </c>
      <c r="F6" s="75"/>
      <c r="G6" s="77" t="str">
        <f t="shared" si="4"/>
        <v>#REF!</v>
      </c>
      <c r="H6" s="75"/>
      <c r="I6" s="76" t="s">
        <v>99</v>
      </c>
      <c r="J6" s="75"/>
      <c r="K6" s="77" t="str">
        <f t="shared" si="37"/>
        <v>#REF!</v>
      </c>
      <c r="L6" s="75"/>
      <c r="M6" s="76" t="str">
        <f t="shared" si="5"/>
        <v>#REF!</v>
      </c>
      <c r="N6" s="75"/>
      <c r="O6" s="76" t="str">
        <f t="shared" si="6"/>
        <v>#REF!</v>
      </c>
      <c r="P6" s="75"/>
      <c r="Q6" s="76" t="str">
        <f t="shared" si="7"/>
        <v>#REF!</v>
      </c>
      <c r="R6" s="75"/>
      <c r="S6" s="76" t="str">
        <f t="shared" si="8"/>
        <v>#REF!</v>
      </c>
      <c r="T6" s="75"/>
      <c r="U6" s="76" t="str">
        <f t="shared" si="9"/>
        <v>#REF!</v>
      </c>
      <c r="V6" s="75"/>
      <c r="W6" s="76" t="str">
        <f t="shared" si="10"/>
        <v>#REF!</v>
      </c>
      <c r="X6" s="75"/>
      <c r="Y6" s="76" t="str">
        <f t="shared" si="11"/>
        <v>#REF!</v>
      </c>
      <c r="Z6" s="75"/>
      <c r="AA6" s="76" t="str">
        <f t="shared" ref="AA6:AA10" si="41">CONCATENATE('Term Reference Guide (in-progress)'!B3," [",'Term Reference Guide (in-progress)'!C3,"]")</f>
        <v>#REF!</v>
      </c>
      <c r="AB6" s="75"/>
      <c r="AC6" s="76" t="str">
        <f t="shared" si="13"/>
        <v>#REF!</v>
      </c>
      <c r="AD6" s="75"/>
      <c r="AE6" s="76" t="str">
        <f t="shared" si="14"/>
        <v>#REF!</v>
      </c>
      <c r="AF6" s="75"/>
      <c r="AG6" s="76" t="str">
        <f t="shared" si="15"/>
        <v>#REF!</v>
      </c>
      <c r="AH6" s="75"/>
      <c r="AI6" s="76" t="str">
        <f t="shared" si="16"/>
        <v>#REF!</v>
      </c>
      <c r="AJ6" s="75"/>
      <c r="AK6" s="76" t="str">
        <f t="shared" si="17"/>
        <v>#REF!</v>
      </c>
      <c r="AL6" s="75"/>
      <c r="AM6" s="76" t="str">
        <f t="shared" si="18"/>
        <v>#REF!</v>
      </c>
      <c r="AN6" s="75"/>
      <c r="AO6" s="76" t="str">
        <f t="shared" ref="AO6:AO10" si="42">CONCATENATE('Term Reference Guide (in-progress)'!B3," [",'Term Reference Guide (in-progress)'!C3,"]")</f>
        <v>#REF!</v>
      </c>
      <c r="AP6" s="75"/>
      <c r="AQ6" s="76" t="str">
        <f t="shared" si="34"/>
        <v>#REF!</v>
      </c>
      <c r="AR6" s="75"/>
      <c r="AS6" s="76" t="str">
        <f t="shared" si="38"/>
        <v>#REF!</v>
      </c>
      <c r="AT6" s="75"/>
      <c r="AU6" s="76" t="str">
        <f t="shared" si="21"/>
        <v>#REF!</v>
      </c>
      <c r="AV6" s="75"/>
      <c r="AW6" s="76" t="str">
        <f t="shared" si="22"/>
        <v>#REF!</v>
      </c>
      <c r="AX6" s="75"/>
      <c r="AY6" s="76" t="str">
        <f t="shared" si="23"/>
        <v>#REF!</v>
      </c>
      <c r="AZ6" s="75"/>
      <c r="BA6" s="76" t="str">
        <f t="shared" si="24"/>
        <v>#REF!</v>
      </c>
      <c r="BB6" s="75"/>
      <c r="BC6" s="76" t="str">
        <f t="shared" si="25"/>
        <v>#REF!</v>
      </c>
      <c r="BE6" s="77" t="str">
        <f t="shared" si="40"/>
        <v>#REF!</v>
      </c>
      <c r="BF6" s="75"/>
      <c r="BG6" s="77" t="str">
        <f t="shared" ref="BG6:BG16" si="43">CONCATENATE('Term Reference Guide (in-progress)'!B249," [",'Term Reference Guide (in-progress)'!C249,"]")</f>
        <v>#REF!</v>
      </c>
      <c r="BH6" s="75"/>
      <c r="BI6" s="76" t="str">
        <f t="shared" si="36"/>
        <v>#REF!</v>
      </c>
      <c r="BJ6" s="75"/>
      <c r="BK6" s="77" t="str">
        <f t="shared" si="27"/>
        <v>#REF!</v>
      </c>
      <c r="BL6" s="75"/>
      <c r="BM6" s="77" t="str">
        <f t="shared" si="28"/>
        <v>#REF!</v>
      </c>
      <c r="BN6" s="75"/>
      <c r="BO6" s="77" t="s">
        <v>100</v>
      </c>
      <c r="BP6" s="75"/>
      <c r="BQ6" s="77" t="s">
        <v>100</v>
      </c>
      <c r="BR6" s="75"/>
      <c r="BS6" s="77" t="str">
        <f t="shared" si="31"/>
        <v>#REF!</v>
      </c>
      <c r="BT6" s="75"/>
      <c r="BU6" s="75" t="str">
        <f t="shared" si="32"/>
        <v>#REF!</v>
      </c>
      <c r="BV6" s="76"/>
      <c r="BW6" s="75"/>
      <c r="BX6" s="75"/>
    </row>
    <row r="7">
      <c r="A7" s="76" t="str">
        <f t="shared" si="1"/>
        <v>#REF!</v>
      </c>
      <c r="B7" s="75"/>
      <c r="C7" s="76" t="str">
        <f t="shared" si="39"/>
        <v>#REF!</v>
      </c>
      <c r="D7" s="75"/>
      <c r="E7" s="76" t="str">
        <f t="shared" ref="E7:E11" si="44">CONCATENATE('Term Reference Guide (in-progress)'!B3," [",'Term Reference Guide (in-progress)'!C3,"]")</f>
        <v>#REF!</v>
      </c>
      <c r="F7" s="75"/>
      <c r="G7" s="77" t="str">
        <f t="shared" si="4"/>
        <v>#REF!</v>
      </c>
      <c r="H7" s="75"/>
      <c r="I7" s="76" t="s">
        <v>101</v>
      </c>
      <c r="J7" s="75"/>
      <c r="K7" s="77" t="str">
        <f t="shared" si="37"/>
        <v>#REF!</v>
      </c>
      <c r="L7" s="75"/>
      <c r="M7" s="76" t="str">
        <f t="shared" si="5"/>
        <v>#REF!</v>
      </c>
      <c r="N7" s="75"/>
      <c r="O7" s="76" t="str">
        <f t="shared" si="6"/>
        <v>#REF!</v>
      </c>
      <c r="P7" s="75"/>
      <c r="Q7" s="76" t="str">
        <f t="shared" si="7"/>
        <v>#REF!</v>
      </c>
      <c r="R7" s="75"/>
      <c r="S7" s="76" t="str">
        <f t="shared" si="8"/>
        <v>#REF!</v>
      </c>
      <c r="T7" s="75"/>
      <c r="U7" s="76" t="str">
        <f t="shared" si="9"/>
        <v>#REF!</v>
      </c>
      <c r="V7" s="75"/>
      <c r="W7" s="76" t="str">
        <f t="shared" si="10"/>
        <v>#REF!</v>
      </c>
      <c r="X7" s="75"/>
      <c r="Y7" s="76" t="str">
        <f t="shared" si="11"/>
        <v>#REF!</v>
      </c>
      <c r="Z7" s="75"/>
      <c r="AA7" s="76" t="str">
        <f t="shared" si="41"/>
        <v>#REF!</v>
      </c>
      <c r="AB7" s="75"/>
      <c r="AC7" s="76" t="str">
        <f t="shared" si="13"/>
        <v>#REF!</v>
      </c>
      <c r="AD7" s="75"/>
      <c r="AE7" s="76" t="str">
        <f t="shared" ref="AE7:AE11" si="45">CONCATENATE('Term Reference Guide (in-progress)'!B3," [",'Term Reference Guide (in-progress)'!C3,"]")</f>
        <v>#REF!</v>
      </c>
      <c r="AF7" s="75"/>
      <c r="AG7" s="76" t="str">
        <f t="shared" si="15"/>
        <v>#REF!</v>
      </c>
      <c r="AH7" s="75"/>
      <c r="AI7" s="76" t="str">
        <f t="shared" si="16"/>
        <v>#REF!</v>
      </c>
      <c r="AJ7" s="75"/>
      <c r="AK7" s="76" t="str">
        <f t="shared" ref="AK7:AK11" si="46">CONCATENATE('Term Reference Guide (in-progress)'!B3," [",'Term Reference Guide (in-progress)'!C3,"]")</f>
        <v>#REF!</v>
      </c>
      <c r="AL7" s="75"/>
      <c r="AM7" s="76" t="str">
        <f t="shared" si="18"/>
        <v>#REF!</v>
      </c>
      <c r="AN7" s="76"/>
      <c r="AO7" s="76" t="str">
        <f t="shared" si="42"/>
        <v>#REF!</v>
      </c>
      <c r="AP7" s="75"/>
      <c r="AQ7" s="76" t="str">
        <f t="shared" si="34"/>
        <v>#REF!</v>
      </c>
      <c r="AR7" s="75"/>
      <c r="AS7" s="76" t="str">
        <f t="shared" si="38"/>
        <v>#REF!</v>
      </c>
      <c r="AT7" s="75"/>
      <c r="AU7" s="76" t="str">
        <f t="shared" si="21"/>
        <v>#REF!</v>
      </c>
      <c r="AV7" s="75"/>
      <c r="AW7" s="76" t="str">
        <f t="shared" si="22"/>
        <v>#REF!</v>
      </c>
      <c r="AX7" s="75"/>
      <c r="AY7" s="76" t="str">
        <f t="shared" si="23"/>
        <v>#REF!</v>
      </c>
      <c r="AZ7" s="75"/>
      <c r="BA7" s="76" t="str">
        <f t="shared" si="24"/>
        <v>#REF!</v>
      </c>
      <c r="BB7" s="75"/>
      <c r="BC7" s="76" t="str">
        <f t="shared" si="25"/>
        <v>#REF!</v>
      </c>
      <c r="BE7" s="77" t="str">
        <f t="shared" si="40"/>
        <v>#REF!</v>
      </c>
      <c r="BF7" s="75"/>
      <c r="BG7" s="77" t="str">
        <f t="shared" si="43"/>
        <v>#REF!</v>
      </c>
      <c r="BH7" s="75"/>
      <c r="BI7" s="77" t="str">
        <f t="shared" ref="BI7:BI11" si="47">CONCATENATE('Term Reference Guide (in-progress)'!B3," [",'Term Reference Guide (in-progress)'!C3,"]")</f>
        <v>#REF!</v>
      </c>
      <c r="BJ7" s="75"/>
      <c r="BK7" s="77" t="str">
        <f t="shared" si="27"/>
        <v>#REF!</v>
      </c>
      <c r="BL7" s="75"/>
      <c r="BM7" s="77" t="str">
        <f t="shared" si="28"/>
        <v>#REF!</v>
      </c>
      <c r="BN7" s="75"/>
      <c r="BO7" s="77" t="s">
        <v>102</v>
      </c>
      <c r="BP7" s="75"/>
      <c r="BQ7" s="77" t="s">
        <v>102</v>
      </c>
      <c r="BR7" s="75"/>
      <c r="BS7" s="77" t="str">
        <f t="shared" si="31"/>
        <v>#REF!</v>
      </c>
      <c r="BT7" s="75"/>
      <c r="BU7" s="75" t="str">
        <f t="shared" si="32"/>
        <v>#REF!</v>
      </c>
      <c r="BV7" s="76"/>
      <c r="BX7" s="75"/>
    </row>
    <row r="8">
      <c r="A8" s="76" t="str">
        <f t="shared" si="1"/>
        <v>#REF!</v>
      </c>
      <c r="B8" s="75"/>
      <c r="C8" s="76" t="str">
        <f t="shared" si="39"/>
        <v>#REF!</v>
      </c>
      <c r="D8" s="75"/>
      <c r="E8" s="76" t="str">
        <f t="shared" si="44"/>
        <v>#REF!</v>
      </c>
      <c r="F8" s="75"/>
      <c r="G8" s="77" t="str">
        <f t="shared" si="4"/>
        <v>#REF!</v>
      </c>
      <c r="H8" s="75"/>
      <c r="I8" s="76" t="s">
        <v>103</v>
      </c>
      <c r="K8" s="77" t="str">
        <f t="shared" si="37"/>
        <v>#REF!</v>
      </c>
      <c r="L8" s="75"/>
      <c r="M8" s="76" t="str">
        <f t="shared" si="5"/>
        <v>#REF!</v>
      </c>
      <c r="N8" s="75"/>
      <c r="O8" s="76" t="str">
        <f t="shared" si="6"/>
        <v>#REF!</v>
      </c>
      <c r="P8" s="75"/>
      <c r="Q8" s="76" t="str">
        <f t="shared" si="7"/>
        <v>#REF!</v>
      </c>
      <c r="R8" s="75"/>
      <c r="S8" s="76" t="str">
        <f t="shared" si="8"/>
        <v>#REF!</v>
      </c>
      <c r="T8" s="75"/>
      <c r="U8" s="76" t="str">
        <f t="shared" si="9"/>
        <v>#REF!</v>
      </c>
      <c r="V8" s="75"/>
      <c r="W8" s="76" t="str">
        <f t="shared" si="10"/>
        <v>#REF!</v>
      </c>
      <c r="X8" s="75"/>
      <c r="Y8" s="76" t="str">
        <f t="shared" si="11"/>
        <v>#REF!</v>
      </c>
      <c r="Z8" s="75"/>
      <c r="AA8" s="76" t="str">
        <f t="shared" si="41"/>
        <v>#REF!</v>
      </c>
      <c r="AB8" s="75"/>
      <c r="AC8" s="76" t="str">
        <f t="shared" si="13"/>
        <v>#REF!</v>
      </c>
      <c r="AD8" s="75"/>
      <c r="AE8" s="76" t="str">
        <f t="shared" si="45"/>
        <v>#REF!</v>
      </c>
      <c r="AF8" s="75"/>
      <c r="AG8" s="76" t="str">
        <f t="shared" si="15"/>
        <v>#REF!</v>
      </c>
      <c r="AH8" s="75"/>
      <c r="AI8" s="76" t="str">
        <f t="shared" si="16"/>
        <v>#REF!</v>
      </c>
      <c r="AJ8" s="75"/>
      <c r="AK8" s="76" t="str">
        <f t="shared" si="46"/>
        <v>#REF!</v>
      </c>
      <c r="AL8" s="75"/>
      <c r="AM8" s="76" t="str">
        <f t="shared" si="18"/>
        <v>#REF!</v>
      </c>
      <c r="AN8" s="75"/>
      <c r="AO8" s="76" t="str">
        <f t="shared" si="42"/>
        <v>#REF!</v>
      </c>
      <c r="AP8" s="75"/>
      <c r="AQ8" s="75"/>
      <c r="AR8" s="75"/>
      <c r="AS8" s="76" t="str">
        <f t="shared" si="38"/>
        <v>#REF!</v>
      </c>
      <c r="AT8" s="75"/>
      <c r="AU8" s="76" t="str">
        <f t="shared" si="21"/>
        <v>#REF!</v>
      </c>
      <c r="AV8" s="75"/>
      <c r="AW8" s="76" t="str">
        <f t="shared" ref="AW8:AW12" si="48">CONCATENATE('Term Reference Guide (in-progress)'!B3," [",'Term Reference Guide (in-progress)'!C3,"]")</f>
        <v>#REF!</v>
      </c>
      <c r="AX8" s="75"/>
      <c r="AY8" s="76" t="str">
        <f t="shared" si="23"/>
        <v>#REF!</v>
      </c>
      <c r="AZ8" s="75"/>
      <c r="BA8" s="76" t="str">
        <f t="shared" si="24"/>
        <v>#REF!</v>
      </c>
      <c r="BB8" s="75"/>
      <c r="BC8" s="76" t="str">
        <f t="shared" si="25"/>
        <v>#REF!</v>
      </c>
      <c r="BE8" s="77" t="str">
        <f t="shared" si="40"/>
        <v>#REF!</v>
      </c>
      <c r="BF8" s="75"/>
      <c r="BG8" s="77" t="str">
        <f t="shared" si="43"/>
        <v>#REF!</v>
      </c>
      <c r="BH8" s="75"/>
      <c r="BI8" s="77" t="str">
        <f t="shared" si="47"/>
        <v>#REF!</v>
      </c>
      <c r="BJ8" s="75"/>
      <c r="BK8" s="77" t="str">
        <f t="shared" si="27"/>
        <v>#REF!</v>
      </c>
      <c r="BL8" s="75"/>
      <c r="BM8" s="77" t="str">
        <f t="shared" si="28"/>
        <v>#REF!</v>
      </c>
      <c r="BN8" s="75"/>
      <c r="BO8" s="77" t="s">
        <v>104</v>
      </c>
      <c r="BP8" s="75"/>
      <c r="BQ8" s="77" t="s">
        <v>104</v>
      </c>
      <c r="BR8" s="75"/>
      <c r="BS8" s="77" t="str">
        <f t="shared" si="31"/>
        <v>#REF!</v>
      </c>
      <c r="BT8" s="75"/>
      <c r="BU8" s="75" t="str">
        <f t="shared" si="32"/>
        <v>#REF!</v>
      </c>
      <c r="BV8" s="76"/>
      <c r="BX8" s="75"/>
    </row>
    <row r="9">
      <c r="A9" s="76" t="str">
        <f t="shared" si="1"/>
        <v>#REF!</v>
      </c>
      <c r="B9" s="75"/>
      <c r="C9" s="76" t="str">
        <f t="shared" si="39"/>
        <v>#REF!</v>
      </c>
      <c r="D9" s="75"/>
      <c r="E9" s="76" t="str">
        <f t="shared" si="44"/>
        <v>#REF!</v>
      </c>
      <c r="F9" s="75"/>
      <c r="G9" s="77" t="str">
        <f t="shared" si="4"/>
        <v>#REF!</v>
      </c>
      <c r="H9" s="75"/>
      <c r="I9" s="76" t="s">
        <v>105</v>
      </c>
      <c r="J9" s="75"/>
      <c r="L9" s="75"/>
      <c r="M9" s="76" t="str">
        <f t="shared" si="5"/>
        <v>#REF!</v>
      </c>
      <c r="N9" s="75"/>
      <c r="O9" s="76" t="str">
        <f t="shared" si="6"/>
        <v>#REF!</v>
      </c>
      <c r="P9" s="75"/>
      <c r="Q9" s="76" t="str">
        <f t="shared" si="7"/>
        <v>#REF!</v>
      </c>
      <c r="R9" s="75"/>
      <c r="S9" s="76" t="str">
        <f t="shared" si="8"/>
        <v>#REF!</v>
      </c>
      <c r="T9" s="75"/>
      <c r="U9" s="76" t="str">
        <f t="shared" si="9"/>
        <v>#REF!</v>
      </c>
      <c r="V9" s="75"/>
      <c r="W9" s="76" t="str">
        <f t="shared" si="10"/>
        <v>#REF!</v>
      </c>
      <c r="X9" s="76"/>
      <c r="Y9" s="76" t="str">
        <f t="shared" si="11"/>
        <v>#REF!</v>
      </c>
      <c r="Z9" s="75"/>
      <c r="AA9" s="76" t="str">
        <f t="shared" si="41"/>
        <v>#REF!</v>
      </c>
      <c r="AB9" s="75"/>
      <c r="AC9" s="76" t="str">
        <f t="shared" si="13"/>
        <v>#REF!</v>
      </c>
      <c r="AD9" s="75"/>
      <c r="AE9" s="76" t="str">
        <f t="shared" si="45"/>
        <v>#REF!</v>
      </c>
      <c r="AF9" s="75"/>
      <c r="AG9" s="76" t="str">
        <f t="shared" si="15"/>
        <v>#REF!</v>
      </c>
      <c r="AH9" s="75"/>
      <c r="AI9" s="76" t="str">
        <f t="shared" si="16"/>
        <v>#REF!</v>
      </c>
      <c r="AJ9" s="75"/>
      <c r="AK9" s="76" t="str">
        <f t="shared" si="46"/>
        <v>#REF!</v>
      </c>
      <c r="AL9" s="75"/>
      <c r="AM9" s="76" t="str">
        <f t="shared" ref="AM9:AM13" si="49">CONCATENATE('Term Reference Guide (in-progress)'!B3," [",'Term Reference Guide (in-progress)'!C3,"]")</f>
        <v>#REF!</v>
      </c>
      <c r="AN9" s="75"/>
      <c r="AO9" s="76" t="str">
        <f t="shared" si="42"/>
        <v>#REF!</v>
      </c>
      <c r="AP9" s="75"/>
      <c r="AQ9" s="75"/>
      <c r="AR9" s="75"/>
      <c r="AS9" s="75"/>
      <c r="AT9" s="75"/>
      <c r="AU9" s="76" t="str">
        <f t="shared" si="21"/>
        <v>#REF!</v>
      </c>
      <c r="AV9" s="75"/>
      <c r="AW9" s="76" t="str">
        <f t="shared" si="48"/>
        <v>#REF!</v>
      </c>
      <c r="AX9" s="75"/>
      <c r="AY9" s="76" t="str">
        <f t="shared" si="23"/>
        <v>#REF!</v>
      </c>
      <c r="AZ9" s="75"/>
      <c r="BA9" s="76" t="str">
        <f t="shared" si="24"/>
        <v>#REF!</v>
      </c>
      <c r="BB9" s="75"/>
      <c r="BC9" s="76" t="str">
        <f t="shared" si="25"/>
        <v>#REF!</v>
      </c>
      <c r="BE9" s="77" t="str">
        <f t="shared" si="40"/>
        <v>#REF!</v>
      </c>
      <c r="BF9" s="75"/>
      <c r="BG9" s="77" t="str">
        <f t="shared" si="43"/>
        <v>#REF!</v>
      </c>
      <c r="BH9" s="75"/>
      <c r="BI9" s="77" t="str">
        <f t="shared" si="47"/>
        <v>#REF!</v>
      </c>
      <c r="BJ9" s="75"/>
      <c r="BK9" s="77" t="str">
        <f t="shared" si="27"/>
        <v>#REF!</v>
      </c>
      <c r="BL9" s="75"/>
      <c r="BM9" s="77" t="str">
        <f t="shared" si="28"/>
        <v>#REF!</v>
      </c>
      <c r="BN9" s="75"/>
      <c r="BP9" s="75"/>
      <c r="BR9" s="75"/>
      <c r="BS9" s="77" t="str">
        <f t="shared" si="31"/>
        <v>#REF!</v>
      </c>
      <c r="BT9" s="75"/>
      <c r="BU9" s="75" t="str">
        <f t="shared" si="32"/>
        <v>#REF!</v>
      </c>
      <c r="BV9" s="76"/>
      <c r="BW9" s="75"/>
      <c r="BX9" s="75"/>
    </row>
    <row r="10">
      <c r="A10" s="76" t="str">
        <f t="shared" si="1"/>
        <v>#REF!</v>
      </c>
      <c r="B10" s="75"/>
      <c r="D10" s="75"/>
      <c r="E10" s="76" t="str">
        <f t="shared" si="44"/>
        <v>#REF!</v>
      </c>
      <c r="F10" s="75"/>
      <c r="G10" s="77" t="str">
        <f t="shared" si="4"/>
        <v>#REF!</v>
      </c>
      <c r="H10" s="75"/>
      <c r="I10" s="76" t="s">
        <v>106</v>
      </c>
      <c r="J10" s="75"/>
      <c r="L10" s="75"/>
      <c r="M10" s="76" t="str">
        <f t="shared" si="5"/>
        <v>#REF!</v>
      </c>
      <c r="N10" s="75"/>
      <c r="O10" s="76" t="str">
        <f t="shared" si="6"/>
        <v>#REF!</v>
      </c>
      <c r="P10" s="75"/>
      <c r="Q10" s="76" t="str">
        <f t="shared" ref="Q10:Q14" si="50">CONCATENATE('Term Reference Guide (in-progress)'!B3," [",'Term Reference Guide (in-progress)'!C3,"]")</f>
        <v>#REF!</v>
      </c>
      <c r="R10" s="75"/>
      <c r="S10" s="76" t="str">
        <f t="shared" si="8"/>
        <v>#REF!</v>
      </c>
      <c r="T10" s="75"/>
      <c r="U10" s="76" t="str">
        <f t="shared" si="9"/>
        <v>#REF!</v>
      </c>
      <c r="V10" s="75"/>
      <c r="W10" s="76" t="str">
        <f t="shared" si="10"/>
        <v>#REF!</v>
      </c>
      <c r="X10" s="75"/>
      <c r="Y10" s="76" t="str">
        <f t="shared" si="11"/>
        <v>#REF!</v>
      </c>
      <c r="Z10" s="75"/>
      <c r="AA10" s="76" t="str">
        <f t="shared" si="41"/>
        <v>#REF!</v>
      </c>
      <c r="AB10" s="75"/>
      <c r="AC10" s="76" t="str">
        <f t="shared" si="13"/>
        <v>#REF!</v>
      </c>
      <c r="AD10" s="75"/>
      <c r="AE10" s="76" t="str">
        <f t="shared" si="45"/>
        <v>#REF!</v>
      </c>
      <c r="AF10" s="75"/>
      <c r="AG10" s="76" t="str">
        <f t="shared" si="15"/>
        <v>#REF!</v>
      </c>
      <c r="AH10" s="75"/>
      <c r="AI10" s="76" t="str">
        <f t="shared" si="16"/>
        <v>#REF!</v>
      </c>
      <c r="AJ10" s="75"/>
      <c r="AK10" s="76" t="str">
        <f t="shared" si="46"/>
        <v>#REF!</v>
      </c>
      <c r="AL10" s="75"/>
      <c r="AM10" s="76" t="str">
        <f t="shared" si="49"/>
        <v>#REF!</v>
      </c>
      <c r="AN10" s="75"/>
      <c r="AO10" s="76" t="str">
        <f t="shared" si="42"/>
        <v>#REF!</v>
      </c>
      <c r="AP10" s="75"/>
      <c r="AQ10" s="75"/>
      <c r="AR10" s="75"/>
      <c r="AS10" s="75"/>
      <c r="AT10" s="75"/>
      <c r="AU10" s="76" t="str">
        <f t="shared" si="21"/>
        <v>#REF!</v>
      </c>
      <c r="AV10" s="75"/>
      <c r="AW10" s="76" t="str">
        <f t="shared" si="48"/>
        <v>#REF!</v>
      </c>
      <c r="AX10" s="75"/>
      <c r="AY10" s="76" t="str">
        <f t="shared" si="23"/>
        <v>#REF!</v>
      </c>
      <c r="AZ10" s="75"/>
      <c r="BA10" s="76" t="str">
        <f t="shared" si="24"/>
        <v>#REF!</v>
      </c>
      <c r="BB10" s="75"/>
      <c r="BC10" s="76" t="str">
        <f t="shared" si="25"/>
        <v>#REF!</v>
      </c>
      <c r="BE10" s="75"/>
      <c r="BF10" s="75"/>
      <c r="BG10" s="77" t="str">
        <f t="shared" si="43"/>
        <v>#REF!</v>
      </c>
      <c r="BH10" s="75"/>
      <c r="BI10" s="77" t="str">
        <f t="shared" si="47"/>
        <v>#REF!</v>
      </c>
      <c r="BJ10" s="75"/>
      <c r="BK10" s="77" t="str">
        <f t="shared" si="27"/>
        <v>#REF!</v>
      </c>
      <c r="BL10" s="75"/>
      <c r="BM10" s="77" t="str">
        <f t="shared" si="28"/>
        <v>#REF!</v>
      </c>
      <c r="BN10" s="75"/>
      <c r="BO10" s="75"/>
      <c r="BP10" s="75"/>
      <c r="BQ10" s="75"/>
      <c r="BR10" s="75"/>
      <c r="BS10" s="77" t="str">
        <f t="shared" si="31"/>
        <v>#REF!</v>
      </c>
      <c r="BT10" s="75"/>
      <c r="BU10" s="75" t="str">
        <f t="shared" si="32"/>
        <v>#REF!</v>
      </c>
      <c r="BV10" s="75"/>
      <c r="BW10" s="75"/>
      <c r="BX10" s="75"/>
    </row>
    <row r="11">
      <c r="A11" s="76" t="str">
        <f t="shared" si="1"/>
        <v>#REF!</v>
      </c>
      <c r="B11" s="75"/>
      <c r="C11" s="75"/>
      <c r="D11" s="75"/>
      <c r="E11" s="76" t="str">
        <f t="shared" si="44"/>
        <v>#REF!</v>
      </c>
      <c r="F11" s="75"/>
      <c r="G11" s="77" t="str">
        <f t="shared" si="4"/>
        <v>#REF!</v>
      </c>
      <c r="H11" s="75"/>
      <c r="I11" s="76" t="s">
        <v>107</v>
      </c>
      <c r="K11" s="75"/>
      <c r="L11" s="75"/>
      <c r="M11" s="76" t="str">
        <f t="shared" ref="M11:M15" si="51">CONCATENATE('Term Reference Guide (in-progress)'!B3," [",'Term Reference Guide (in-progress)'!C3,"]")</f>
        <v>#REF!</v>
      </c>
      <c r="N11" s="75"/>
      <c r="O11" s="76" t="str">
        <f t="shared" si="6"/>
        <v>#REF!</v>
      </c>
      <c r="P11" s="75"/>
      <c r="Q11" s="76" t="str">
        <f t="shared" si="50"/>
        <v>#REF!</v>
      </c>
      <c r="R11" s="75"/>
      <c r="S11" s="76" t="str">
        <f t="shared" si="8"/>
        <v>#REF!</v>
      </c>
      <c r="T11" s="75"/>
      <c r="U11" s="76" t="str">
        <f t="shared" si="9"/>
        <v>#REF!</v>
      </c>
      <c r="V11" s="75"/>
      <c r="W11" s="76" t="str">
        <f t="shared" si="10"/>
        <v>#REF!</v>
      </c>
      <c r="X11" s="75"/>
      <c r="Y11" s="76" t="str">
        <f t="shared" si="11"/>
        <v>#REF!</v>
      </c>
      <c r="Z11" s="75"/>
      <c r="AA11" s="75"/>
      <c r="AB11" s="75"/>
      <c r="AC11" s="76" t="str">
        <f t="shared" si="13"/>
        <v>#REF!</v>
      </c>
      <c r="AD11" s="75"/>
      <c r="AE11" s="76" t="str">
        <f t="shared" si="45"/>
        <v>#REF!</v>
      </c>
      <c r="AF11" s="75"/>
      <c r="AG11" s="76" t="str">
        <f t="shared" si="15"/>
        <v>#REF!</v>
      </c>
      <c r="AH11" s="75"/>
      <c r="AI11" s="76" t="str">
        <f t="shared" si="16"/>
        <v>#REF!</v>
      </c>
      <c r="AJ11" s="75"/>
      <c r="AK11" s="76" t="str">
        <f t="shared" si="46"/>
        <v>#REF!</v>
      </c>
      <c r="AL11" s="76"/>
      <c r="AM11" s="76" t="str">
        <f t="shared" si="49"/>
        <v>#REF!</v>
      </c>
      <c r="AP11" s="75"/>
      <c r="AU11" s="76" t="str">
        <f t="shared" si="21"/>
        <v>#REF!</v>
      </c>
      <c r="AV11" s="75"/>
      <c r="AW11" s="76" t="str">
        <f t="shared" si="48"/>
        <v>#REF!</v>
      </c>
      <c r="AX11" s="75"/>
      <c r="AY11" s="76" t="str">
        <f t="shared" si="23"/>
        <v>#REF!</v>
      </c>
      <c r="AZ11" s="75"/>
      <c r="BA11" s="76" t="str">
        <f t="shared" si="24"/>
        <v>#REF!</v>
      </c>
      <c r="BB11" s="75"/>
      <c r="BC11" s="76" t="str">
        <f t="shared" si="25"/>
        <v>#REF!</v>
      </c>
      <c r="BD11" s="75"/>
      <c r="BG11" s="77" t="str">
        <f t="shared" si="43"/>
        <v>#REF!</v>
      </c>
      <c r="BI11" s="77" t="str">
        <f t="shared" si="47"/>
        <v>#REF!</v>
      </c>
      <c r="BJ11" s="75"/>
      <c r="BK11" s="77" t="str">
        <f t="shared" si="27"/>
        <v>#REF!</v>
      </c>
      <c r="BL11" s="75"/>
      <c r="BM11" s="77" t="str">
        <f t="shared" si="28"/>
        <v>#REF!</v>
      </c>
      <c r="BP11" s="75"/>
      <c r="BS11" s="77" t="str">
        <f t="shared" si="31"/>
        <v>#REF!</v>
      </c>
      <c r="BT11" s="75"/>
      <c r="BU11" s="75" t="str">
        <f t="shared" si="32"/>
        <v>#REF!</v>
      </c>
      <c r="BV11" s="75"/>
      <c r="BW11" s="75"/>
      <c r="BX11" s="75"/>
    </row>
    <row r="12">
      <c r="A12" s="76" t="str">
        <f t="shared" si="1"/>
        <v>#REF!</v>
      </c>
      <c r="B12" s="75"/>
      <c r="C12" s="75"/>
      <c r="D12" s="75"/>
      <c r="F12" s="75"/>
      <c r="G12" s="77" t="str">
        <f t="shared" si="4"/>
        <v>#REF!</v>
      </c>
      <c r="H12" s="75"/>
      <c r="I12" s="76" t="s">
        <v>108</v>
      </c>
      <c r="K12" s="75"/>
      <c r="L12" s="75"/>
      <c r="M12" s="76" t="str">
        <f t="shared" si="51"/>
        <v>#REF!</v>
      </c>
      <c r="N12" s="75"/>
      <c r="O12" s="76" t="str">
        <f t="shared" si="6"/>
        <v>#REF!</v>
      </c>
      <c r="P12" s="75"/>
      <c r="Q12" s="76" t="str">
        <f t="shared" si="50"/>
        <v>#REF!</v>
      </c>
      <c r="R12" s="75"/>
      <c r="S12" s="76" t="str">
        <f t="shared" si="8"/>
        <v>#REF!</v>
      </c>
      <c r="T12" s="75"/>
      <c r="U12" s="76" t="str">
        <f t="shared" si="9"/>
        <v>#REF!</v>
      </c>
      <c r="V12" s="75"/>
      <c r="W12" s="76" t="str">
        <f t="shared" si="10"/>
        <v>#REF!</v>
      </c>
      <c r="X12" s="75"/>
      <c r="Y12" s="76" t="str">
        <f t="shared" si="11"/>
        <v>#REF!</v>
      </c>
      <c r="Z12" s="75"/>
      <c r="AA12" s="75"/>
      <c r="AB12" s="75"/>
      <c r="AC12" s="76" t="str">
        <f t="shared" si="13"/>
        <v>#REF!</v>
      </c>
      <c r="AD12" s="75"/>
      <c r="AF12" s="75"/>
      <c r="AG12" s="76" t="str">
        <f t="shared" si="15"/>
        <v>#REF!</v>
      </c>
      <c r="AH12" s="75"/>
      <c r="AI12" s="76" t="str">
        <f t="shared" si="16"/>
        <v>#REF!</v>
      </c>
      <c r="AJ12" s="75"/>
      <c r="AM12" s="76" t="str">
        <f t="shared" si="49"/>
        <v>#REF!</v>
      </c>
      <c r="AP12" s="75"/>
      <c r="AU12" s="76" t="str">
        <f t="shared" si="21"/>
        <v>#REF!</v>
      </c>
      <c r="AV12" s="75"/>
      <c r="AW12" s="76" t="str">
        <f t="shared" si="48"/>
        <v>#REF!</v>
      </c>
      <c r="AX12" s="75"/>
      <c r="AY12" s="76" t="str">
        <f t="shared" si="23"/>
        <v>#REF!</v>
      </c>
      <c r="AZ12" s="75"/>
      <c r="BA12" s="76" t="str">
        <f t="shared" si="24"/>
        <v>#REF!</v>
      </c>
      <c r="BB12" s="75"/>
      <c r="BC12" s="76" t="str">
        <f t="shared" si="25"/>
        <v>#REF!</v>
      </c>
      <c r="BD12" s="75"/>
      <c r="BG12" s="77" t="str">
        <f t="shared" si="43"/>
        <v>#REF!</v>
      </c>
      <c r="BJ12" s="75"/>
      <c r="BK12" s="77" t="str">
        <f t="shared" si="27"/>
        <v>#REF!</v>
      </c>
      <c r="BL12" s="75"/>
      <c r="BM12" s="77" t="str">
        <f t="shared" si="28"/>
        <v>#REF!</v>
      </c>
      <c r="BP12" s="75"/>
      <c r="BS12" s="77" t="str">
        <f t="shared" si="31"/>
        <v>#REF!</v>
      </c>
      <c r="BT12" s="75"/>
      <c r="BU12" s="75" t="str">
        <f t="shared" si="32"/>
        <v>#REF!</v>
      </c>
      <c r="BV12" s="75"/>
      <c r="BW12" s="75"/>
      <c r="BX12" s="75"/>
    </row>
    <row r="13">
      <c r="A13" s="76" t="str">
        <f t="shared" si="1"/>
        <v>#REF!</v>
      </c>
      <c r="B13" s="75"/>
      <c r="C13" s="75"/>
      <c r="D13" s="75"/>
      <c r="E13" s="76"/>
      <c r="F13" s="75"/>
      <c r="G13" s="77" t="str">
        <f t="shared" si="4"/>
        <v>#REF!</v>
      </c>
      <c r="H13" s="75"/>
      <c r="I13" s="76" t="s">
        <v>109</v>
      </c>
      <c r="J13" s="75"/>
      <c r="K13" s="75"/>
      <c r="L13" s="75"/>
      <c r="M13" s="76" t="str">
        <f t="shared" si="51"/>
        <v>#REF!</v>
      </c>
      <c r="N13" s="75"/>
      <c r="O13" s="76" t="str">
        <f t="shared" si="6"/>
        <v>#REF!</v>
      </c>
      <c r="P13" s="75"/>
      <c r="Q13" s="76" t="str">
        <f t="shared" si="50"/>
        <v>#REF!</v>
      </c>
      <c r="R13" s="75"/>
      <c r="S13" s="76" t="str">
        <f t="shared" si="8"/>
        <v>#REF!</v>
      </c>
      <c r="T13" s="75"/>
      <c r="U13" s="76" t="str">
        <f t="shared" si="9"/>
        <v>#REF!</v>
      </c>
      <c r="V13" s="75"/>
      <c r="W13" s="76" t="str">
        <f t="shared" si="10"/>
        <v>#REF!</v>
      </c>
      <c r="X13" s="75"/>
      <c r="Y13" s="76" t="str">
        <f t="shared" si="11"/>
        <v>#REF!</v>
      </c>
      <c r="Z13" s="75"/>
      <c r="AA13" s="75"/>
      <c r="AB13" s="75"/>
      <c r="AC13" s="76" t="str">
        <f t="shared" si="13"/>
        <v>#REF!</v>
      </c>
      <c r="AD13" s="75"/>
      <c r="AF13" s="75"/>
      <c r="AG13" s="76" t="str">
        <f t="shared" si="15"/>
        <v>#REF!</v>
      </c>
      <c r="AH13" s="75"/>
      <c r="AI13" s="76" t="str">
        <f t="shared" si="16"/>
        <v>#REF!</v>
      </c>
      <c r="AJ13" s="74"/>
      <c r="AK13" s="76"/>
      <c r="AL13" s="76"/>
      <c r="AM13" s="76" t="str">
        <f t="shared" si="49"/>
        <v>#REF!</v>
      </c>
      <c r="AN13" s="75"/>
      <c r="AO13" s="75"/>
      <c r="AP13" s="75"/>
      <c r="AQ13" s="75"/>
      <c r="AR13" s="75"/>
      <c r="AS13" s="75"/>
      <c r="AT13" s="75"/>
      <c r="AU13" s="76" t="str">
        <f t="shared" ref="AU13:AU17" si="52">CONCATENATE('Term Reference Guide (in-progress)'!B3," [",'Term Reference Guide (in-progress)'!C3,"]")</f>
        <v>#REF!</v>
      </c>
      <c r="AV13" s="75"/>
      <c r="AX13" s="75"/>
      <c r="AY13" s="76" t="str">
        <f t="shared" si="23"/>
        <v>#REF!</v>
      </c>
      <c r="AZ13" s="75"/>
      <c r="BA13" s="76" t="str">
        <f t="shared" si="24"/>
        <v>#REF!</v>
      </c>
      <c r="BB13" s="75"/>
      <c r="BC13" s="76" t="str">
        <f t="shared" si="25"/>
        <v>#REF!</v>
      </c>
      <c r="BD13" s="75"/>
      <c r="BE13" s="75"/>
      <c r="BF13" s="75"/>
      <c r="BG13" s="77" t="str">
        <f t="shared" si="43"/>
        <v>#REF!</v>
      </c>
      <c r="BH13" s="75"/>
      <c r="BI13" s="75"/>
      <c r="BJ13" s="75"/>
      <c r="BK13" s="77" t="str">
        <f t="shared" ref="BK13:BK16" si="53">CONCATENATE('Term Reference Guide (in-progress)'!B732," [",'Term Reference Guide (in-progress)'!C732,"]")</f>
        <v>#REF!</v>
      </c>
      <c r="BL13" s="75"/>
      <c r="BM13" s="77" t="str">
        <f t="shared" si="28"/>
        <v>#REF!</v>
      </c>
      <c r="BN13" s="75"/>
      <c r="BO13" s="75"/>
      <c r="BP13" s="75"/>
      <c r="BQ13" s="75"/>
      <c r="BR13" s="75"/>
      <c r="BS13" s="77" t="str">
        <f t="shared" si="31"/>
        <v>#REF!</v>
      </c>
      <c r="BT13" s="75"/>
      <c r="BU13" s="75" t="str">
        <f t="shared" si="32"/>
        <v>#REF!</v>
      </c>
      <c r="BV13" s="75"/>
      <c r="BW13" s="75"/>
      <c r="BX13" s="75"/>
    </row>
    <row r="14">
      <c r="A14" s="76" t="str">
        <f t="shared" si="1"/>
        <v>#REF!</v>
      </c>
      <c r="B14" s="75"/>
      <c r="C14" s="75"/>
      <c r="D14" s="75"/>
      <c r="E14" s="76"/>
      <c r="F14" s="75"/>
      <c r="G14" s="77" t="str">
        <f t="shared" si="4"/>
        <v>#REF!</v>
      </c>
      <c r="H14" s="75"/>
      <c r="I14" s="76" t="s">
        <v>110</v>
      </c>
      <c r="J14" s="75"/>
      <c r="K14" s="75"/>
      <c r="L14" s="75"/>
      <c r="M14" s="76" t="str">
        <f t="shared" si="51"/>
        <v>#REF!</v>
      </c>
      <c r="N14" s="75"/>
      <c r="O14" s="76" t="str">
        <f t="shared" si="6"/>
        <v>#REF!</v>
      </c>
      <c r="P14" s="75"/>
      <c r="Q14" s="76" t="str">
        <f t="shared" si="50"/>
        <v>#REF!</v>
      </c>
      <c r="R14" s="75"/>
      <c r="S14" s="76" t="str">
        <f t="shared" si="8"/>
        <v>#REF!</v>
      </c>
      <c r="T14" s="75"/>
      <c r="U14" s="76" t="str">
        <f t="shared" si="9"/>
        <v>#REF!</v>
      </c>
      <c r="V14" s="75"/>
      <c r="W14" s="76" t="str">
        <f t="shared" si="10"/>
        <v>#REF!</v>
      </c>
      <c r="X14" s="75"/>
      <c r="Y14" s="76" t="str">
        <f t="shared" si="11"/>
        <v>#REF!</v>
      </c>
      <c r="Z14" s="75"/>
      <c r="AA14" s="75"/>
      <c r="AB14" s="75"/>
      <c r="AC14" s="76" t="str">
        <f t="shared" si="13"/>
        <v>#REF!</v>
      </c>
      <c r="AD14" s="75"/>
      <c r="AF14" s="75"/>
      <c r="AG14" s="76" t="str">
        <f t="shared" si="15"/>
        <v>#REF!</v>
      </c>
      <c r="AH14" s="75"/>
      <c r="AI14" s="76" t="str">
        <f t="shared" si="16"/>
        <v>#REF!</v>
      </c>
      <c r="AJ14" s="74"/>
      <c r="AK14" s="76"/>
      <c r="AL14" s="76"/>
      <c r="AM14" s="76"/>
      <c r="AN14" s="75"/>
      <c r="AO14" s="75"/>
      <c r="AP14" s="75"/>
      <c r="AQ14" s="75"/>
      <c r="AR14" s="75"/>
      <c r="AS14" s="75"/>
      <c r="AT14" s="75"/>
      <c r="AU14" s="76" t="str">
        <f t="shared" si="52"/>
        <v>#REF!</v>
      </c>
      <c r="AV14" s="75"/>
      <c r="AW14" s="75"/>
      <c r="AX14" s="75"/>
      <c r="AY14" s="76" t="str">
        <f t="shared" si="23"/>
        <v>#REF!</v>
      </c>
      <c r="AZ14" s="75"/>
      <c r="BA14" s="76" t="str">
        <f t="shared" si="24"/>
        <v>#REF!</v>
      </c>
      <c r="BB14" s="75"/>
      <c r="BC14" s="76" t="str">
        <f t="shared" si="25"/>
        <v>#REF!</v>
      </c>
      <c r="BD14" s="75"/>
      <c r="BE14" s="75"/>
      <c r="BF14" s="75"/>
      <c r="BG14" s="77" t="str">
        <f t="shared" si="43"/>
        <v>#REF!</v>
      </c>
      <c r="BH14" s="75"/>
      <c r="BI14" s="75"/>
      <c r="BJ14" s="75"/>
      <c r="BK14" s="77" t="str">
        <f t="shared" si="53"/>
        <v>#REF!</v>
      </c>
      <c r="BL14" s="75"/>
      <c r="BM14" s="77" t="str">
        <f t="shared" si="28"/>
        <v>#REF!</v>
      </c>
      <c r="BN14" s="75"/>
      <c r="BO14" s="75"/>
      <c r="BP14" s="75"/>
      <c r="BQ14" s="75"/>
      <c r="BR14" s="75"/>
      <c r="BS14" s="77" t="str">
        <f t="shared" si="31"/>
        <v>#REF!</v>
      </c>
      <c r="BT14" s="75"/>
      <c r="BU14" s="75" t="str">
        <f t="shared" si="32"/>
        <v>#REF!</v>
      </c>
      <c r="BV14" s="75"/>
      <c r="BW14" s="75"/>
      <c r="BX14" s="75"/>
    </row>
    <row r="15">
      <c r="A15" s="76" t="str">
        <f t="shared" si="1"/>
        <v>#REF!</v>
      </c>
      <c r="B15" s="75"/>
      <c r="C15" s="75"/>
      <c r="D15" s="75"/>
      <c r="F15" s="75"/>
      <c r="G15" s="77" t="str">
        <f t="shared" si="4"/>
        <v>#REF!</v>
      </c>
      <c r="H15" s="75"/>
      <c r="I15" s="76" t="s">
        <v>111</v>
      </c>
      <c r="J15" s="75"/>
      <c r="K15" s="75"/>
      <c r="L15" s="75"/>
      <c r="M15" s="76" t="str">
        <f t="shared" si="51"/>
        <v>#REF!</v>
      </c>
      <c r="N15" s="75"/>
      <c r="O15" s="76" t="str">
        <f t="shared" si="6"/>
        <v>#REF!</v>
      </c>
      <c r="P15" s="75"/>
      <c r="R15" s="75"/>
      <c r="S15" s="76" t="str">
        <f t="shared" si="8"/>
        <v>#REF!</v>
      </c>
      <c r="T15" s="75"/>
      <c r="U15" s="76" t="str">
        <f t="shared" si="9"/>
        <v>#REF!</v>
      </c>
      <c r="V15" s="75"/>
      <c r="W15" s="76" t="str">
        <f t="shared" si="10"/>
        <v>#REF!</v>
      </c>
      <c r="X15" s="75"/>
      <c r="Y15" s="76" t="str">
        <f t="shared" si="11"/>
        <v>#REF!</v>
      </c>
      <c r="Z15" s="75"/>
      <c r="AA15" s="75"/>
      <c r="AB15" s="75"/>
      <c r="AC15" s="76" t="str">
        <f t="shared" si="13"/>
        <v>#REF!</v>
      </c>
      <c r="AD15" s="75"/>
      <c r="AF15" s="75"/>
      <c r="AG15" s="76" t="str">
        <f t="shared" ref="AG15:AG19" si="54">CONCATENATE('Term Reference Guide (in-progress)'!B3," [",'Term Reference Guide (in-progress)'!C3,"]")</f>
        <v>#REF!</v>
      </c>
      <c r="AH15" s="75"/>
      <c r="AI15" s="76" t="str">
        <f t="shared" si="16"/>
        <v>#REF!</v>
      </c>
      <c r="AJ15" s="74"/>
      <c r="AN15" s="75"/>
      <c r="AO15" s="75"/>
      <c r="AP15" s="75"/>
      <c r="AQ15" s="75"/>
      <c r="AR15" s="75"/>
      <c r="AS15" s="75"/>
      <c r="AT15" s="75"/>
      <c r="AU15" s="76" t="str">
        <f t="shared" si="52"/>
        <v>#REF!</v>
      </c>
      <c r="AV15" s="75"/>
      <c r="AW15" s="75"/>
      <c r="AX15" s="75"/>
      <c r="AY15" s="76" t="str">
        <f t="shared" si="23"/>
        <v>#REF!</v>
      </c>
      <c r="AZ15" s="75"/>
      <c r="BA15" s="76" t="str">
        <f t="shared" si="24"/>
        <v>#REF!</v>
      </c>
      <c r="BB15" s="75"/>
      <c r="BC15" s="76" t="str">
        <f t="shared" si="25"/>
        <v>#REF!</v>
      </c>
      <c r="BD15" s="75"/>
      <c r="BE15" s="75"/>
      <c r="BF15" s="75"/>
      <c r="BG15" s="77" t="str">
        <f t="shared" si="43"/>
        <v>#REF!</v>
      </c>
      <c r="BH15" s="75"/>
      <c r="BI15" s="75"/>
      <c r="BJ15" s="75"/>
      <c r="BK15" s="77" t="str">
        <f t="shared" si="53"/>
        <v>#REF!</v>
      </c>
      <c r="BL15" s="75"/>
      <c r="BM15" s="77" t="str">
        <f t="shared" si="28"/>
        <v>#REF!</v>
      </c>
      <c r="BN15" s="75"/>
      <c r="BO15" s="75"/>
      <c r="BP15" s="75"/>
      <c r="BQ15" s="75"/>
      <c r="BR15" s="75"/>
      <c r="BS15" s="77" t="str">
        <f t="shared" si="31"/>
        <v>#REF!</v>
      </c>
      <c r="BT15" s="75"/>
      <c r="BU15" s="75" t="str">
        <f t="shared" si="32"/>
        <v>#REF!</v>
      </c>
      <c r="BV15" s="75"/>
      <c r="BW15" s="75"/>
      <c r="BX15" s="75"/>
    </row>
    <row r="16">
      <c r="A16" s="76" t="str">
        <f t="shared" si="1"/>
        <v>#REF!</v>
      </c>
      <c r="B16" s="75"/>
      <c r="C16" s="75"/>
      <c r="D16" s="75"/>
      <c r="E16" s="75"/>
      <c r="F16" s="75"/>
      <c r="G16" s="77" t="str">
        <f t="shared" si="4"/>
        <v>#REF!</v>
      </c>
      <c r="H16" s="75"/>
      <c r="I16" s="76" t="s">
        <v>112</v>
      </c>
      <c r="J16" s="75"/>
      <c r="K16" s="75"/>
      <c r="L16" s="75"/>
      <c r="M16" s="76"/>
      <c r="N16" s="75"/>
      <c r="O16" s="76" t="str">
        <f t="shared" si="6"/>
        <v>#REF!</v>
      </c>
      <c r="P16" s="75"/>
      <c r="R16" s="75"/>
      <c r="S16" s="76" t="str">
        <f t="shared" si="8"/>
        <v>#REF!</v>
      </c>
      <c r="T16" s="75"/>
      <c r="U16" s="76" t="str">
        <f t="shared" si="9"/>
        <v>#REF!</v>
      </c>
      <c r="V16" s="75"/>
      <c r="W16" s="76" t="str">
        <f t="shared" si="10"/>
        <v>#REF!</v>
      </c>
      <c r="X16" s="75"/>
      <c r="Y16" s="76" t="str">
        <f t="shared" si="11"/>
        <v>#REF!</v>
      </c>
      <c r="Z16" s="75"/>
      <c r="AA16" s="75"/>
      <c r="AB16" s="75"/>
      <c r="AC16" s="76" t="str">
        <f t="shared" si="13"/>
        <v>#REF!</v>
      </c>
      <c r="AD16" s="75"/>
      <c r="AF16" s="75"/>
      <c r="AG16" s="76" t="str">
        <f t="shared" si="54"/>
        <v>#REF!</v>
      </c>
      <c r="AH16" s="75"/>
      <c r="AI16" s="76" t="str">
        <f t="shared" si="16"/>
        <v>#REF!</v>
      </c>
      <c r="AJ16" s="75"/>
      <c r="AK16" s="75"/>
      <c r="AL16" s="75"/>
      <c r="AM16" s="76"/>
      <c r="AN16" s="75"/>
      <c r="AO16" s="75"/>
      <c r="AP16" s="75"/>
      <c r="AQ16" s="75"/>
      <c r="AR16" s="75"/>
      <c r="AS16" s="75"/>
      <c r="AT16" s="75"/>
      <c r="AU16" s="76" t="str">
        <f t="shared" si="52"/>
        <v>#REF!</v>
      </c>
      <c r="AV16" s="75"/>
      <c r="AW16" s="75"/>
      <c r="AX16" s="75"/>
      <c r="AY16" s="76" t="str">
        <f t="shared" si="23"/>
        <v>#REF!</v>
      </c>
      <c r="AZ16" s="76"/>
      <c r="BA16" s="76" t="str">
        <f t="shared" si="24"/>
        <v>#REF!</v>
      </c>
      <c r="BB16" s="75"/>
      <c r="BC16" s="76" t="str">
        <f t="shared" si="25"/>
        <v>#REF!</v>
      </c>
      <c r="BD16" s="75"/>
      <c r="BE16" s="75"/>
      <c r="BF16" s="75"/>
      <c r="BG16" s="77" t="str">
        <f t="shared" si="43"/>
        <v>#REF!</v>
      </c>
      <c r="BH16" s="75"/>
      <c r="BI16" s="75"/>
      <c r="BJ16" s="75"/>
      <c r="BK16" s="77" t="str">
        <f t="shared" si="53"/>
        <v>#REF!</v>
      </c>
      <c r="BL16" s="75"/>
      <c r="BM16" s="77" t="str">
        <f t="shared" si="28"/>
        <v>#REF!</v>
      </c>
      <c r="BN16" s="75"/>
      <c r="BO16" s="75"/>
      <c r="BP16" s="75"/>
      <c r="BQ16" s="75"/>
      <c r="BR16" s="75"/>
      <c r="BS16" s="77" t="str">
        <f t="shared" si="31"/>
        <v>#REF!</v>
      </c>
      <c r="BT16" s="75"/>
      <c r="BU16" s="75" t="str">
        <f t="shared" si="32"/>
        <v>#REF!</v>
      </c>
      <c r="BV16" s="75"/>
      <c r="BW16" s="75"/>
      <c r="BX16" s="75"/>
    </row>
    <row r="17">
      <c r="A17" s="76" t="str">
        <f t="shared" si="1"/>
        <v>#REF!</v>
      </c>
      <c r="B17" s="75"/>
      <c r="D17" s="75"/>
      <c r="E17" s="75"/>
      <c r="F17" s="75"/>
      <c r="G17" s="77" t="str">
        <f t="shared" si="4"/>
        <v>#REF!</v>
      </c>
      <c r="H17" s="75"/>
      <c r="I17" s="76"/>
      <c r="J17" s="75"/>
      <c r="K17" s="75"/>
      <c r="L17" s="75"/>
      <c r="M17" s="76"/>
      <c r="N17" s="75"/>
      <c r="O17" s="76" t="str">
        <f t="shared" si="6"/>
        <v>#REF!</v>
      </c>
      <c r="P17" s="75"/>
      <c r="Q17" s="76"/>
      <c r="R17" s="75"/>
      <c r="S17" s="76" t="str">
        <f t="shared" si="8"/>
        <v>#REF!</v>
      </c>
      <c r="T17" s="75"/>
      <c r="U17" s="76" t="str">
        <f t="shared" si="9"/>
        <v>#REF!</v>
      </c>
      <c r="V17" s="75"/>
      <c r="W17" s="76" t="str">
        <f t="shared" si="10"/>
        <v>#REF!</v>
      </c>
      <c r="X17" s="75"/>
      <c r="Y17" s="76" t="str">
        <f t="shared" si="11"/>
        <v>#REF!</v>
      </c>
      <c r="Z17" s="75"/>
      <c r="AA17" s="75"/>
      <c r="AB17" s="75"/>
      <c r="AC17" s="76" t="str">
        <f t="shared" si="13"/>
        <v>#REF!</v>
      </c>
      <c r="AD17" s="75"/>
      <c r="AE17" s="75"/>
      <c r="AF17" s="75"/>
      <c r="AG17" s="76" t="str">
        <f t="shared" si="54"/>
        <v>#REF!</v>
      </c>
      <c r="AH17" s="75"/>
      <c r="AI17" s="76" t="str">
        <f t="shared" si="16"/>
        <v>#REF!</v>
      </c>
      <c r="AJ17" s="75"/>
      <c r="AK17" s="75"/>
      <c r="AL17" s="75"/>
      <c r="AM17" s="76"/>
      <c r="AN17" s="75"/>
      <c r="AO17" s="75"/>
      <c r="AP17" s="75"/>
      <c r="AQ17" s="75"/>
      <c r="AR17" s="75"/>
      <c r="AS17" s="75"/>
      <c r="AT17" s="75"/>
      <c r="AU17" s="76" t="str">
        <f t="shared" si="52"/>
        <v>#REF!</v>
      </c>
      <c r="AV17" s="75"/>
      <c r="AW17" s="75"/>
      <c r="AX17" s="75"/>
      <c r="AY17" s="76" t="str">
        <f t="shared" si="23"/>
        <v>#REF!</v>
      </c>
      <c r="AZ17" s="75"/>
      <c r="BA17" s="76" t="str">
        <f t="shared" si="24"/>
        <v>#REF!</v>
      </c>
      <c r="BB17" s="75"/>
      <c r="BC17" s="76" t="str">
        <f t="shared" si="25"/>
        <v>#REF!</v>
      </c>
      <c r="BD17" s="75"/>
      <c r="BE17" s="75"/>
      <c r="BF17" s="75"/>
      <c r="BG17" s="77" t="str">
        <f t="shared" ref="BG17:BG21" si="55">CONCATENATE('Term Reference Guide (in-progress)'!B3," [",'Term Reference Guide (in-progress)'!C3,"]")</f>
        <v>#REF!</v>
      </c>
      <c r="BH17" s="75"/>
      <c r="BI17" s="75"/>
      <c r="BJ17" s="75"/>
      <c r="BK17" s="77" t="str">
        <f>CONCATENATE('Term Reference Guide (in-progress)'!B742," [",'Term Reference Guide (in-progress)'!C742,"]")</f>
        <v>#REF!</v>
      </c>
      <c r="BL17" s="75"/>
      <c r="BM17" s="77" t="str">
        <f t="shared" si="28"/>
        <v>#REF!</v>
      </c>
      <c r="BN17" s="75"/>
      <c r="BO17" s="75"/>
      <c r="BP17" s="75"/>
      <c r="BQ17" s="75"/>
      <c r="BR17" s="75"/>
      <c r="BS17" s="77" t="str">
        <f t="shared" si="31"/>
        <v>#REF!</v>
      </c>
      <c r="BT17" s="75"/>
      <c r="BU17" s="75" t="str">
        <f t="shared" si="32"/>
        <v>#REF!</v>
      </c>
      <c r="BV17" s="75"/>
      <c r="BW17" s="75"/>
      <c r="BX17" s="75"/>
    </row>
    <row r="18">
      <c r="A18" s="76" t="str">
        <f t="shared" si="1"/>
        <v>#REF!</v>
      </c>
      <c r="B18" s="75"/>
      <c r="D18" s="75"/>
      <c r="E18" s="75"/>
      <c r="F18" s="75"/>
      <c r="G18" s="77" t="str">
        <f t="shared" si="4"/>
        <v>#REF!</v>
      </c>
      <c r="H18" s="75"/>
      <c r="I18" s="76"/>
      <c r="J18" s="75"/>
      <c r="K18" s="75"/>
      <c r="L18" s="75"/>
      <c r="M18" s="76"/>
      <c r="N18" s="75"/>
      <c r="O18" s="76" t="str">
        <f t="shared" si="6"/>
        <v>#REF!</v>
      </c>
      <c r="P18" s="75"/>
      <c r="Q18" s="76"/>
      <c r="R18" s="75"/>
      <c r="S18" s="76" t="str">
        <f t="shared" si="8"/>
        <v>#REF!</v>
      </c>
      <c r="T18" s="75"/>
      <c r="U18" s="76" t="str">
        <f t="shared" si="9"/>
        <v>#REF!</v>
      </c>
      <c r="V18" s="75"/>
      <c r="W18" s="76" t="str">
        <f t="shared" si="10"/>
        <v>#REF!</v>
      </c>
      <c r="X18" s="75"/>
      <c r="Y18" s="76" t="str">
        <f t="shared" si="11"/>
        <v>#REF!</v>
      </c>
      <c r="Z18" s="76"/>
      <c r="AA18" s="75"/>
      <c r="AB18" s="75"/>
      <c r="AC18" s="76" t="str">
        <f t="shared" ref="AC18:AC22" si="56">CONCATENATE('Term Reference Guide (in-progress)'!B3," [",'Term Reference Guide (in-progress)'!C3,"]")</f>
        <v>#REF!</v>
      </c>
      <c r="AD18" s="75"/>
      <c r="AE18" s="75"/>
      <c r="AF18" s="75"/>
      <c r="AG18" s="76" t="str">
        <f t="shared" si="54"/>
        <v>#REF!</v>
      </c>
      <c r="AH18" s="75"/>
      <c r="AI18" s="76" t="str">
        <f t="shared" ref="AI18:AI22" si="57">CONCATENATE('Term Reference Guide (in-progress)'!B3," [",'Term Reference Guide (in-progress)'!C3,"]")</f>
        <v>#REF!</v>
      </c>
      <c r="AJ18" s="75"/>
      <c r="AK18" s="75"/>
      <c r="AL18" s="75"/>
      <c r="AM18" s="76"/>
      <c r="AN18" s="75"/>
      <c r="AO18" s="75"/>
      <c r="AP18" s="75"/>
      <c r="AQ18" s="75"/>
      <c r="AR18" s="75"/>
      <c r="AS18" s="75"/>
      <c r="AT18" s="75"/>
      <c r="AU18" s="76"/>
      <c r="AV18" s="75"/>
      <c r="AW18" s="76"/>
      <c r="AX18" s="75"/>
      <c r="AY18" s="76" t="str">
        <f t="shared" si="23"/>
        <v>#REF!</v>
      </c>
      <c r="AZ18" s="75"/>
      <c r="BA18" s="76" t="str">
        <f t="shared" si="24"/>
        <v>#REF!</v>
      </c>
      <c r="BB18" s="75"/>
      <c r="BC18" s="76" t="str">
        <f t="shared" si="25"/>
        <v>#REF!</v>
      </c>
      <c r="BD18" s="75"/>
      <c r="BE18" s="75"/>
      <c r="BF18" s="75"/>
      <c r="BG18" s="77" t="str">
        <f t="shared" si="55"/>
        <v>#REF!</v>
      </c>
      <c r="BH18" s="75"/>
      <c r="BI18" s="75"/>
      <c r="BJ18" s="75"/>
      <c r="BK18" s="77" t="str">
        <f>CONCATENATE('Term Reference Guide (in-progress)'!B744," [",'Term Reference Guide (in-progress)'!C744,"]")</f>
        <v>#REF!</v>
      </c>
      <c r="BL18" s="75"/>
      <c r="BM18" s="77" t="str">
        <f t="shared" si="28"/>
        <v>#REF!</v>
      </c>
      <c r="BN18" s="75"/>
      <c r="BO18" s="75"/>
      <c r="BP18" s="75"/>
      <c r="BQ18" s="75"/>
      <c r="BR18" s="75"/>
      <c r="BS18" s="77" t="str">
        <f t="shared" si="31"/>
        <v>#REF!</v>
      </c>
      <c r="BT18" s="75"/>
      <c r="BU18" s="75" t="str">
        <f t="shared" si="32"/>
        <v>#REF!</v>
      </c>
      <c r="BV18" s="75"/>
      <c r="BW18" s="75"/>
      <c r="BX18" s="75"/>
    </row>
    <row r="19">
      <c r="A19" s="76" t="str">
        <f t="shared" si="1"/>
        <v>#REF!</v>
      </c>
      <c r="B19" s="75"/>
      <c r="D19" s="75"/>
      <c r="E19" s="75"/>
      <c r="F19" s="75"/>
      <c r="G19" s="77" t="str">
        <f t="shared" si="4"/>
        <v>#REF!</v>
      </c>
      <c r="H19" s="75"/>
      <c r="I19" s="76"/>
      <c r="J19" s="75"/>
      <c r="K19" s="75"/>
      <c r="L19" s="75"/>
      <c r="M19" s="76"/>
      <c r="N19" s="75"/>
      <c r="O19" s="76" t="str">
        <f t="shared" si="6"/>
        <v>#REF!</v>
      </c>
      <c r="P19" s="75"/>
      <c r="Q19" s="76"/>
      <c r="R19" s="75"/>
      <c r="S19" s="76" t="str">
        <f t="shared" si="8"/>
        <v>#REF!</v>
      </c>
      <c r="T19" s="75"/>
      <c r="U19" s="76" t="str">
        <f t="shared" si="9"/>
        <v>#REF!</v>
      </c>
      <c r="V19" s="75"/>
      <c r="W19" s="76" t="str">
        <f t="shared" ref="W19:W23" si="58">CONCATENATE('Term Reference Guide (in-progress)'!B3," [",'Term Reference Guide (in-progress)'!C3,"]")</f>
        <v>#REF!</v>
      </c>
      <c r="X19" s="75"/>
      <c r="Y19" s="76" t="str">
        <f t="shared" si="11"/>
        <v>#REF!</v>
      </c>
      <c r="Z19" s="75"/>
      <c r="AA19" s="75"/>
      <c r="AB19" s="75"/>
      <c r="AC19" s="76" t="str">
        <f t="shared" si="56"/>
        <v>#REF!</v>
      </c>
      <c r="AD19" s="75"/>
      <c r="AE19" s="75"/>
      <c r="AF19" s="75"/>
      <c r="AG19" s="76" t="str">
        <f t="shared" si="54"/>
        <v>#REF!</v>
      </c>
      <c r="AH19" s="75"/>
      <c r="AI19" s="76" t="str">
        <f t="shared" si="57"/>
        <v>#REF!</v>
      </c>
      <c r="AJ19" s="75"/>
      <c r="AK19" s="75"/>
      <c r="AL19" s="75"/>
      <c r="AM19" s="76"/>
      <c r="AN19" s="75"/>
      <c r="AO19" s="75"/>
      <c r="AP19" s="75"/>
      <c r="AQ19" s="75"/>
      <c r="AR19" s="75"/>
      <c r="AS19" s="75"/>
      <c r="AT19" s="75"/>
      <c r="AU19" s="76"/>
      <c r="AV19" s="75"/>
      <c r="AX19" s="75"/>
      <c r="AY19" s="76" t="str">
        <f t="shared" si="23"/>
        <v>#REF!</v>
      </c>
      <c r="AZ19" s="75"/>
      <c r="BA19" s="76" t="str">
        <f t="shared" si="24"/>
        <v>#REF!</v>
      </c>
      <c r="BB19" s="75"/>
      <c r="BC19" s="76" t="str">
        <f t="shared" si="25"/>
        <v>#REF!</v>
      </c>
      <c r="BD19" s="75"/>
      <c r="BE19" s="75"/>
      <c r="BF19" s="75"/>
      <c r="BG19" s="77" t="str">
        <f t="shared" si="55"/>
        <v>#REF!</v>
      </c>
      <c r="BH19" s="75"/>
      <c r="BI19" s="75"/>
      <c r="BJ19" s="75"/>
      <c r="BK19" s="77" t="str">
        <f t="shared" ref="BK19:BK24" si="59">CONCATENATE('Term Reference Guide (in-progress)'!B736," [",'Term Reference Guide (in-progress)'!C736,"]")</f>
        <v>#REF!</v>
      </c>
      <c r="BL19" s="75"/>
      <c r="BM19" s="77" t="str">
        <f t="shared" si="28"/>
        <v>#REF!</v>
      </c>
      <c r="BN19" s="75"/>
      <c r="BO19" s="75"/>
      <c r="BP19" s="75"/>
      <c r="BQ19" s="75"/>
      <c r="BR19" s="75"/>
      <c r="BS19" s="77" t="str">
        <f t="shared" si="31"/>
        <v>#REF!</v>
      </c>
      <c r="BT19" s="75"/>
      <c r="BU19" s="75" t="str">
        <f t="shared" si="32"/>
        <v>#REF!</v>
      </c>
      <c r="BV19" s="75"/>
      <c r="BW19" s="75"/>
      <c r="BX19" s="75"/>
    </row>
    <row r="20">
      <c r="A20" s="76" t="str">
        <f t="shared" si="1"/>
        <v>#REF!</v>
      </c>
      <c r="B20" s="75"/>
      <c r="C20" s="75"/>
      <c r="D20" s="75"/>
      <c r="E20" s="75"/>
      <c r="F20" s="75"/>
      <c r="G20" s="77" t="str">
        <f t="shared" si="4"/>
        <v>#REF!</v>
      </c>
      <c r="H20" s="75"/>
      <c r="J20" s="75"/>
      <c r="K20" s="75"/>
      <c r="L20" s="75"/>
      <c r="N20" s="75"/>
      <c r="O20" s="76" t="str">
        <f t="shared" si="6"/>
        <v>#REF!</v>
      </c>
      <c r="P20" s="75"/>
      <c r="R20" s="75"/>
      <c r="S20" s="76" t="str">
        <f t="shared" si="8"/>
        <v>#REF!</v>
      </c>
      <c r="T20" s="75"/>
      <c r="U20" s="76" t="str">
        <f t="shared" si="9"/>
        <v>#REF!</v>
      </c>
      <c r="V20" s="75"/>
      <c r="W20" s="76" t="str">
        <f t="shared" si="58"/>
        <v>#REF!</v>
      </c>
      <c r="X20" s="75"/>
      <c r="Y20" s="76" t="str">
        <f t="shared" si="11"/>
        <v>#REF!</v>
      </c>
      <c r="Z20" s="75"/>
      <c r="AA20" s="75"/>
      <c r="AB20" s="75"/>
      <c r="AC20" s="76" t="str">
        <f t="shared" si="56"/>
        <v>#REF!</v>
      </c>
      <c r="AD20" s="75"/>
      <c r="AE20" s="75"/>
      <c r="AF20" s="75"/>
      <c r="AG20" s="75"/>
      <c r="AH20" s="75"/>
      <c r="AI20" s="76" t="str">
        <f t="shared" si="57"/>
        <v>#REF!</v>
      </c>
      <c r="AJ20" s="75"/>
      <c r="AK20" s="75"/>
      <c r="AL20" s="75"/>
      <c r="AN20" s="75"/>
      <c r="AO20" s="75"/>
      <c r="AP20" s="75"/>
      <c r="AQ20" s="75"/>
      <c r="AR20" s="75"/>
      <c r="AS20" s="75"/>
      <c r="AT20" s="75"/>
      <c r="AX20" s="75"/>
      <c r="AY20" s="76" t="str">
        <f t="shared" si="23"/>
        <v>#REF!</v>
      </c>
      <c r="AZ20" s="75"/>
      <c r="BA20" s="76" t="str">
        <f t="shared" si="24"/>
        <v>#REF!</v>
      </c>
      <c r="BB20" s="75"/>
      <c r="BC20" s="76" t="str">
        <f t="shared" si="25"/>
        <v>#REF!</v>
      </c>
      <c r="BD20" s="75"/>
      <c r="BE20" s="75"/>
      <c r="BF20" s="75"/>
      <c r="BG20" s="77" t="str">
        <f t="shared" si="55"/>
        <v>#REF!</v>
      </c>
      <c r="BH20" s="75"/>
      <c r="BI20" s="75"/>
      <c r="BJ20" s="75"/>
      <c r="BK20" s="77" t="str">
        <f t="shared" si="59"/>
        <v>#REF!</v>
      </c>
      <c r="BL20" s="75"/>
      <c r="BM20" s="77" t="str">
        <f t="shared" si="28"/>
        <v>#REF!</v>
      </c>
      <c r="BN20" s="75"/>
      <c r="BO20" s="75"/>
      <c r="BP20" s="75"/>
      <c r="BQ20" s="75"/>
      <c r="BR20" s="75"/>
      <c r="BS20" s="77" t="str">
        <f t="shared" si="31"/>
        <v>#REF!</v>
      </c>
      <c r="BT20" s="75"/>
      <c r="BU20" s="75" t="str">
        <f t="shared" si="32"/>
        <v>#REF!</v>
      </c>
      <c r="BV20" s="75"/>
      <c r="BW20" s="75"/>
      <c r="BX20" s="75"/>
    </row>
    <row r="21">
      <c r="A21" s="76" t="str">
        <f t="shared" si="1"/>
        <v>#REF!</v>
      </c>
      <c r="B21" s="75"/>
      <c r="C21" s="75"/>
      <c r="D21" s="75"/>
      <c r="E21" s="75"/>
      <c r="F21" s="75"/>
      <c r="G21" s="77" t="str">
        <f t="shared" si="4"/>
        <v>#REF!</v>
      </c>
      <c r="H21" s="75"/>
      <c r="J21" s="75"/>
      <c r="K21" s="75"/>
      <c r="L21" s="75"/>
      <c r="N21" s="75"/>
      <c r="O21" s="76" t="str">
        <f t="shared" si="6"/>
        <v>#REF!</v>
      </c>
      <c r="P21" s="75"/>
      <c r="R21" s="75"/>
      <c r="S21" s="76" t="str">
        <f t="shared" si="8"/>
        <v>#REF!</v>
      </c>
      <c r="T21" s="75"/>
      <c r="U21" s="76" t="str">
        <f t="shared" si="9"/>
        <v>#REF!</v>
      </c>
      <c r="V21" s="75"/>
      <c r="W21" s="76" t="str">
        <f t="shared" si="58"/>
        <v>#REF!</v>
      </c>
      <c r="X21" s="75"/>
      <c r="Y21" s="76" t="str">
        <f t="shared" si="11"/>
        <v>#REF!</v>
      </c>
      <c r="Z21" s="75"/>
      <c r="AA21" s="75"/>
      <c r="AB21" s="75"/>
      <c r="AC21" s="76" t="str">
        <f t="shared" si="56"/>
        <v>#REF!</v>
      </c>
      <c r="AD21" s="75"/>
      <c r="AE21" s="75"/>
      <c r="AF21" s="75"/>
      <c r="AG21" s="75"/>
      <c r="AH21" s="75"/>
      <c r="AI21" s="76" t="str">
        <f t="shared" si="57"/>
        <v>#REF!</v>
      </c>
      <c r="AJ21" s="75"/>
      <c r="AK21" s="75"/>
      <c r="AL21" s="75"/>
      <c r="AN21" s="75"/>
      <c r="AO21" s="75"/>
      <c r="AP21" s="75"/>
      <c r="AQ21" s="75"/>
      <c r="AR21" s="75"/>
      <c r="AS21" s="75"/>
      <c r="AT21" s="75"/>
      <c r="AX21" s="75"/>
      <c r="AY21" s="76" t="str">
        <f t="shared" si="23"/>
        <v>#REF!</v>
      </c>
      <c r="AZ21" s="75"/>
      <c r="BA21" s="76" t="str">
        <f t="shared" si="24"/>
        <v>#REF!</v>
      </c>
      <c r="BB21" s="75"/>
      <c r="BC21" s="76" t="str">
        <f t="shared" si="25"/>
        <v>#REF!</v>
      </c>
      <c r="BD21" s="75"/>
      <c r="BE21" s="75"/>
      <c r="BF21" s="75"/>
      <c r="BG21" s="77" t="str">
        <f t="shared" si="55"/>
        <v>#REF!</v>
      </c>
      <c r="BH21" s="75"/>
      <c r="BI21" s="75"/>
      <c r="BJ21" s="75"/>
      <c r="BK21" s="77" t="str">
        <f t="shared" si="59"/>
        <v>#REF!</v>
      </c>
      <c r="BL21" s="75"/>
      <c r="BM21" s="77" t="str">
        <f t="shared" si="28"/>
        <v>#REF!</v>
      </c>
      <c r="BN21" s="75"/>
      <c r="BO21" s="75"/>
      <c r="BP21" s="75"/>
      <c r="BQ21" s="75"/>
      <c r="BR21" s="75"/>
      <c r="BS21" s="77" t="str">
        <f t="shared" si="31"/>
        <v>#REF!</v>
      </c>
      <c r="BT21" s="75"/>
      <c r="BU21" s="75" t="str">
        <f t="shared" si="32"/>
        <v>#REF!</v>
      </c>
      <c r="BV21" s="75"/>
      <c r="BW21" s="75"/>
      <c r="BX21" s="75"/>
    </row>
    <row r="22">
      <c r="A22" s="76" t="str">
        <f t="shared" si="1"/>
        <v>#REF!</v>
      </c>
      <c r="B22" s="75"/>
      <c r="C22" s="75"/>
      <c r="D22" s="75"/>
      <c r="E22" s="75"/>
      <c r="F22" s="75"/>
      <c r="G22" s="77" t="str">
        <f t="shared" si="4"/>
        <v>#REF!</v>
      </c>
      <c r="H22" s="80"/>
      <c r="J22" s="75"/>
      <c r="K22" s="75"/>
      <c r="L22" s="75"/>
      <c r="N22" s="75"/>
      <c r="O22" s="76" t="str">
        <f t="shared" si="6"/>
        <v>#REF!</v>
      </c>
      <c r="P22" s="75"/>
      <c r="R22" s="75"/>
      <c r="S22" s="76" t="str">
        <f t="shared" si="8"/>
        <v>#REF!</v>
      </c>
      <c r="T22" s="75"/>
      <c r="U22" s="76" t="str">
        <f t="shared" si="9"/>
        <v>#REF!</v>
      </c>
      <c r="V22" s="75"/>
      <c r="W22" s="76" t="str">
        <f t="shared" si="58"/>
        <v>#REF!</v>
      </c>
      <c r="X22" s="75"/>
      <c r="Y22" s="76" t="str">
        <f t="shared" si="11"/>
        <v>#REF!</v>
      </c>
      <c r="Z22" s="75"/>
      <c r="AA22" s="75"/>
      <c r="AB22" s="75"/>
      <c r="AC22" s="76" t="str">
        <f t="shared" si="56"/>
        <v>#REF!</v>
      </c>
      <c r="AD22" s="75"/>
      <c r="AE22" s="75"/>
      <c r="AF22" s="75"/>
      <c r="AG22" s="75"/>
      <c r="AH22" s="75"/>
      <c r="AI22" s="76" t="str">
        <f t="shared" si="57"/>
        <v>#REF!</v>
      </c>
      <c r="AJ22" s="75"/>
      <c r="AK22" s="75"/>
      <c r="AL22" s="75"/>
      <c r="AM22" s="75"/>
      <c r="AN22" s="75"/>
      <c r="AO22" s="75"/>
      <c r="AP22" s="75"/>
      <c r="AQ22" s="75"/>
      <c r="AR22" s="75"/>
      <c r="AS22" s="75"/>
      <c r="AT22" s="75"/>
      <c r="AX22" s="75"/>
      <c r="AY22" s="76" t="str">
        <f t="shared" si="23"/>
        <v>#REF!</v>
      </c>
      <c r="AZ22" s="75"/>
      <c r="BA22" s="76" t="str">
        <f t="shared" si="24"/>
        <v>#REF!</v>
      </c>
      <c r="BB22" s="75"/>
      <c r="BC22" s="76" t="str">
        <f t="shared" si="25"/>
        <v>#REF!</v>
      </c>
      <c r="BD22" s="75"/>
      <c r="BE22" s="75"/>
      <c r="BF22" s="75"/>
      <c r="BH22" s="75"/>
      <c r="BI22" s="75"/>
      <c r="BJ22" s="75"/>
      <c r="BK22" s="77" t="str">
        <f t="shared" si="59"/>
        <v>#REF!</v>
      </c>
      <c r="BL22" s="75"/>
      <c r="BM22" s="77" t="str">
        <f t="shared" si="28"/>
        <v>#REF!</v>
      </c>
      <c r="BN22" s="75"/>
      <c r="BO22" s="75"/>
      <c r="BP22" s="75"/>
      <c r="BQ22" s="75"/>
      <c r="BR22" s="75"/>
      <c r="BS22" s="77" t="str">
        <f t="shared" si="31"/>
        <v>#REF!</v>
      </c>
      <c r="BT22" s="75"/>
      <c r="BU22" s="75" t="str">
        <f t="shared" si="32"/>
        <v>#REF!</v>
      </c>
      <c r="BV22" s="75"/>
      <c r="BW22" s="75"/>
      <c r="BX22" s="75"/>
    </row>
    <row r="23">
      <c r="A23" s="76" t="str">
        <f t="shared" si="1"/>
        <v>#REF!</v>
      </c>
      <c r="B23" s="75"/>
      <c r="C23" s="75"/>
      <c r="D23" s="75"/>
      <c r="E23" s="75"/>
      <c r="F23" s="75"/>
      <c r="G23" s="77" t="str">
        <f t="shared" si="4"/>
        <v>#REF!</v>
      </c>
      <c r="H23" s="75"/>
      <c r="J23" s="75"/>
      <c r="K23" s="75"/>
      <c r="L23" s="75"/>
      <c r="N23" s="75"/>
      <c r="O23" s="76" t="str">
        <f t="shared" si="6"/>
        <v>#REF!</v>
      </c>
      <c r="P23" s="75"/>
      <c r="Q23" s="75"/>
      <c r="R23" s="75"/>
      <c r="S23" s="76" t="str">
        <f t="shared" si="8"/>
        <v>#REF!</v>
      </c>
      <c r="T23" s="75"/>
      <c r="U23" s="76" t="str">
        <f t="shared" ref="U23:U27" si="60">CONCATENATE('Term Reference Guide (in-progress)'!B3," [",'Term Reference Guide (in-progress)'!C3,"]")</f>
        <v>#REF!</v>
      </c>
      <c r="V23" s="75"/>
      <c r="W23" s="76" t="str">
        <f t="shared" si="58"/>
        <v>#REF!</v>
      </c>
      <c r="X23" s="75"/>
      <c r="Y23" s="76" t="str">
        <f t="shared" ref="Y23:Y27" si="61">CONCATENATE('Term Reference Guide (in-progress)'!B3," [",'Term Reference Guide (in-progress)'!C3,"]")</f>
        <v>#REF!</v>
      </c>
      <c r="Z23" s="75"/>
      <c r="AA23" s="75"/>
      <c r="AB23" s="75"/>
      <c r="AC23" s="75"/>
      <c r="AD23" s="75"/>
      <c r="AE23" s="75"/>
      <c r="AF23" s="75"/>
      <c r="AJ23" s="75"/>
      <c r="AK23" s="75"/>
      <c r="AL23" s="75"/>
      <c r="AM23" s="75"/>
      <c r="AN23" s="75"/>
      <c r="AO23" s="75"/>
      <c r="AP23" s="75"/>
      <c r="AQ23" s="75"/>
      <c r="AR23" s="75"/>
      <c r="AS23" s="75"/>
      <c r="AT23" s="75"/>
      <c r="AX23" s="75"/>
      <c r="AY23" s="76" t="str">
        <f t="shared" si="23"/>
        <v>#REF!</v>
      </c>
      <c r="AZ23" s="75"/>
      <c r="BA23" s="76" t="str">
        <f t="shared" si="24"/>
        <v>#REF!</v>
      </c>
      <c r="BB23" s="75"/>
      <c r="BC23" s="76" t="str">
        <f t="shared" si="25"/>
        <v>#REF!</v>
      </c>
      <c r="BD23" s="75"/>
      <c r="BE23" s="75"/>
      <c r="BF23" s="75"/>
      <c r="BH23" s="75"/>
      <c r="BI23" s="75"/>
      <c r="BJ23" s="75"/>
      <c r="BK23" s="77" t="str">
        <f t="shared" si="59"/>
        <v>#REF!</v>
      </c>
      <c r="BL23" s="75"/>
      <c r="BM23" s="77" t="str">
        <f t="shared" si="28"/>
        <v>#REF!</v>
      </c>
      <c r="BN23" s="75"/>
      <c r="BO23" s="75"/>
      <c r="BP23" s="75"/>
      <c r="BQ23" s="75"/>
      <c r="BR23" s="75"/>
      <c r="BS23" s="77" t="str">
        <f t="shared" si="31"/>
        <v>#REF!</v>
      </c>
      <c r="BT23" s="75"/>
      <c r="BU23" s="75" t="str">
        <f t="shared" si="32"/>
        <v>#REF!</v>
      </c>
      <c r="BV23" s="75"/>
      <c r="BW23" s="75"/>
      <c r="BX23" s="75"/>
    </row>
    <row r="24">
      <c r="A24" s="76" t="str">
        <f t="shared" si="1"/>
        <v>#REF!</v>
      </c>
      <c r="B24" s="75"/>
      <c r="C24" s="75"/>
      <c r="D24" s="75"/>
      <c r="E24" s="75"/>
      <c r="F24" s="75"/>
      <c r="G24" s="77" t="str">
        <f t="shared" si="4"/>
        <v>#REF!</v>
      </c>
      <c r="H24" s="75"/>
      <c r="J24" s="75"/>
      <c r="K24" s="75"/>
      <c r="L24" s="75"/>
      <c r="M24" s="75"/>
      <c r="N24" s="75"/>
      <c r="O24" s="76" t="str">
        <f t="shared" si="6"/>
        <v>#REF!</v>
      </c>
      <c r="P24" s="75"/>
      <c r="Q24" s="75"/>
      <c r="R24" s="75"/>
      <c r="S24" s="76" t="str">
        <f t="shared" si="8"/>
        <v>#REF!</v>
      </c>
      <c r="T24" s="75"/>
      <c r="U24" s="76" t="str">
        <f t="shared" si="60"/>
        <v>#REF!</v>
      </c>
      <c r="V24" s="75"/>
      <c r="W24" s="75"/>
      <c r="X24" s="75"/>
      <c r="Y24" s="76" t="str">
        <f t="shared" si="61"/>
        <v>#REF!</v>
      </c>
      <c r="Z24" s="75"/>
      <c r="AA24" s="75"/>
      <c r="AB24" s="75"/>
      <c r="AC24" s="75"/>
      <c r="AD24" s="75"/>
      <c r="AE24" s="75"/>
      <c r="AF24" s="75"/>
      <c r="AJ24" s="76"/>
      <c r="AK24" s="75"/>
      <c r="AL24" s="75"/>
      <c r="AM24" s="75"/>
      <c r="AN24" s="75"/>
      <c r="AO24" s="75"/>
      <c r="AP24" s="75"/>
      <c r="AQ24" s="75"/>
      <c r="AR24" s="75"/>
      <c r="AS24" s="75"/>
      <c r="AT24" s="75"/>
      <c r="AX24" s="75"/>
      <c r="AY24" s="76" t="str">
        <f t="shared" si="23"/>
        <v>#REF!</v>
      </c>
      <c r="AZ24" s="75"/>
      <c r="BA24" s="76" t="str">
        <f t="shared" si="24"/>
        <v>#REF!</v>
      </c>
      <c r="BB24" s="75"/>
      <c r="BC24" s="76" t="str">
        <f t="shared" si="25"/>
        <v>#REF!</v>
      </c>
      <c r="BD24" s="75"/>
      <c r="BE24" s="75"/>
      <c r="BF24" s="75"/>
      <c r="BH24" s="75"/>
      <c r="BI24" s="75"/>
      <c r="BJ24" s="75"/>
      <c r="BK24" s="77" t="str">
        <f t="shared" si="59"/>
        <v>#REF!</v>
      </c>
      <c r="BL24" s="75"/>
      <c r="BM24" s="77" t="str">
        <f t="shared" si="28"/>
        <v>#REF!</v>
      </c>
      <c r="BN24" s="75"/>
      <c r="BO24" s="75"/>
      <c r="BP24" s="75"/>
      <c r="BQ24" s="75"/>
      <c r="BR24" s="75"/>
      <c r="BS24" s="77" t="str">
        <f t="shared" si="31"/>
        <v>#REF!</v>
      </c>
      <c r="BT24" s="75"/>
      <c r="BU24" s="75" t="str">
        <f t="shared" si="32"/>
        <v>#REF!</v>
      </c>
      <c r="BV24" s="75"/>
      <c r="BW24" s="75"/>
      <c r="BX24" s="75"/>
    </row>
    <row r="25">
      <c r="A25" s="76" t="str">
        <f t="shared" si="1"/>
        <v>#REF!</v>
      </c>
      <c r="B25" s="75"/>
      <c r="C25" s="75"/>
      <c r="D25" s="75"/>
      <c r="E25" s="75"/>
      <c r="F25" s="75"/>
      <c r="G25" s="77" t="str">
        <f t="shared" si="4"/>
        <v>#REF!</v>
      </c>
      <c r="H25" s="75"/>
      <c r="I25" s="75"/>
      <c r="J25" s="75"/>
      <c r="K25" s="75"/>
      <c r="L25" s="75"/>
      <c r="M25" s="75"/>
      <c r="N25" s="75"/>
      <c r="O25" s="76" t="str">
        <f t="shared" si="6"/>
        <v>#REF!</v>
      </c>
      <c r="P25" s="75"/>
      <c r="Q25" s="75"/>
      <c r="R25" s="75"/>
      <c r="S25" s="76" t="str">
        <f t="shared" si="8"/>
        <v>#REF!</v>
      </c>
      <c r="T25" s="75"/>
      <c r="U25" s="76" t="str">
        <f t="shared" si="60"/>
        <v>#REF!</v>
      </c>
      <c r="V25" s="75"/>
      <c r="W25" s="75"/>
      <c r="X25" s="75"/>
      <c r="Y25" s="76" t="str">
        <f t="shared" si="61"/>
        <v>#REF!</v>
      </c>
      <c r="Z25" s="75"/>
      <c r="AA25" s="75"/>
      <c r="AB25" s="75"/>
      <c r="AC25" s="75"/>
      <c r="AD25" s="76"/>
      <c r="AE25" s="75"/>
      <c r="AF25" s="75"/>
      <c r="AJ25" s="75"/>
      <c r="AK25" s="75"/>
      <c r="AL25" s="75"/>
      <c r="AM25" s="75"/>
      <c r="AN25" s="75"/>
      <c r="AO25" s="75"/>
      <c r="AP25" s="75"/>
      <c r="AQ25" s="75"/>
      <c r="AR25" s="75"/>
      <c r="AS25" s="75"/>
      <c r="AT25" s="75"/>
      <c r="AX25" s="75"/>
      <c r="AY25" s="76" t="str">
        <f t="shared" si="23"/>
        <v>#REF!</v>
      </c>
      <c r="AZ25" s="75"/>
      <c r="BA25" s="76" t="str">
        <f t="shared" si="24"/>
        <v>#REF!</v>
      </c>
      <c r="BB25" s="75"/>
      <c r="BC25" s="76" t="str">
        <f t="shared" si="25"/>
        <v>#REF!</v>
      </c>
      <c r="BD25" s="75"/>
      <c r="BE25" s="75"/>
      <c r="BF25" s="75"/>
      <c r="BH25" s="75"/>
      <c r="BI25" s="75"/>
      <c r="BJ25" s="75"/>
      <c r="BK25" s="77" t="str">
        <f t="shared" ref="BK25:BK26" si="62">CONCATENATE('Term Reference Guide (in-progress)'!B745," [",'Term Reference Guide (in-progress)'!C745,"]")</f>
        <v>#REF!</v>
      </c>
      <c r="BL25" s="75"/>
      <c r="BM25" s="77" t="str">
        <f t="shared" si="28"/>
        <v>#REF!</v>
      </c>
      <c r="BN25" s="75"/>
      <c r="BO25" s="75"/>
      <c r="BP25" s="75"/>
      <c r="BQ25" s="75"/>
      <c r="BR25" s="75"/>
      <c r="BS25" s="77" t="str">
        <f t="shared" si="31"/>
        <v>#REF!</v>
      </c>
      <c r="BT25" s="75"/>
      <c r="BU25" s="75" t="str">
        <f t="shared" si="32"/>
        <v>#REF!</v>
      </c>
      <c r="BV25" s="75"/>
      <c r="BW25" s="75"/>
      <c r="BX25" s="75"/>
    </row>
    <row r="26">
      <c r="A26" s="76" t="str">
        <f t="shared" si="1"/>
        <v>#REF!</v>
      </c>
      <c r="B26" s="75"/>
      <c r="C26" s="75"/>
      <c r="D26" s="75"/>
      <c r="E26" s="75"/>
      <c r="F26" s="75"/>
      <c r="G26" s="81" t="str">
        <f t="shared" si="4"/>
        <v>#REF!</v>
      </c>
      <c r="H26" s="75"/>
      <c r="I26" s="75"/>
      <c r="J26" s="75"/>
      <c r="K26" s="75"/>
      <c r="L26" s="75"/>
      <c r="M26" s="75"/>
      <c r="N26" s="75"/>
      <c r="O26" s="76" t="str">
        <f t="shared" si="6"/>
        <v>#REF!</v>
      </c>
      <c r="P26" s="75"/>
      <c r="Q26" s="75"/>
      <c r="R26" s="75"/>
      <c r="S26" s="76" t="str">
        <f t="shared" si="8"/>
        <v>#REF!</v>
      </c>
      <c r="T26" s="75"/>
      <c r="U26" s="76" t="str">
        <f t="shared" si="60"/>
        <v>#REF!</v>
      </c>
      <c r="V26" s="75"/>
      <c r="W26" s="75"/>
      <c r="X26" s="75"/>
      <c r="Y26" s="76" t="str">
        <f t="shared" si="61"/>
        <v>#REF!</v>
      </c>
      <c r="Z26" s="75"/>
      <c r="AA26" s="75"/>
      <c r="AB26" s="75"/>
      <c r="AC26" s="75"/>
      <c r="AD26" s="75"/>
      <c r="AE26" s="75"/>
      <c r="AF26" s="75"/>
      <c r="AJ26" s="75"/>
      <c r="AK26" s="75"/>
      <c r="AL26" s="75"/>
      <c r="AM26" s="75"/>
      <c r="AN26" s="75"/>
      <c r="AO26" s="75"/>
      <c r="AP26" s="75"/>
      <c r="AQ26" s="75"/>
      <c r="AR26" s="75"/>
      <c r="AS26" s="75"/>
      <c r="AT26" s="75"/>
      <c r="AU26" s="75"/>
      <c r="AV26" s="75"/>
      <c r="AW26" s="75"/>
      <c r="AX26" s="75"/>
      <c r="AY26" s="76" t="str">
        <f t="shared" si="23"/>
        <v>#REF!</v>
      </c>
      <c r="AZ26" s="75"/>
      <c r="BA26" s="76" t="str">
        <f t="shared" si="24"/>
        <v>#REF!</v>
      </c>
      <c r="BB26" s="75"/>
      <c r="BC26" s="76" t="str">
        <f t="shared" si="25"/>
        <v>#REF!</v>
      </c>
      <c r="BD26" s="75"/>
      <c r="BE26" s="75"/>
      <c r="BF26" s="75"/>
      <c r="BH26" s="75"/>
      <c r="BI26" s="75"/>
      <c r="BJ26" s="75"/>
      <c r="BK26" s="77" t="str">
        <f t="shared" si="62"/>
        <v>#REF!</v>
      </c>
      <c r="BL26" s="75"/>
      <c r="BM26" s="77" t="str">
        <f t="shared" si="28"/>
        <v>#REF!</v>
      </c>
      <c r="BN26" s="75"/>
      <c r="BO26" s="75"/>
      <c r="BP26" s="75"/>
      <c r="BQ26" s="75"/>
      <c r="BR26" s="75"/>
      <c r="BS26" s="77" t="str">
        <f t="shared" si="31"/>
        <v>#REF!</v>
      </c>
      <c r="BT26" s="75"/>
      <c r="BU26" s="75" t="str">
        <f t="shared" si="32"/>
        <v>#REF!</v>
      </c>
      <c r="BV26" s="75"/>
      <c r="BW26" s="75"/>
      <c r="BX26" s="75"/>
    </row>
    <row r="27">
      <c r="A27" s="76" t="str">
        <f t="shared" si="1"/>
        <v>#REF!</v>
      </c>
      <c r="B27" s="75"/>
      <c r="C27" s="75"/>
      <c r="D27" s="75"/>
      <c r="E27" s="75"/>
      <c r="F27" s="75"/>
      <c r="G27" s="77" t="str">
        <f t="shared" ref="G27:G31" si="63">CONCATENATE('Term Reference Guide (in-progress)'!B3," [",'Term Reference Guide (in-progress)'!C3,"]")</f>
        <v>#REF!</v>
      </c>
      <c r="H27" s="75"/>
      <c r="I27" s="75"/>
      <c r="J27" s="75"/>
      <c r="K27" s="75"/>
      <c r="L27" s="75"/>
      <c r="M27" s="75"/>
      <c r="N27" s="75"/>
      <c r="O27" s="76" t="str">
        <f t="shared" ref="O27:O31" si="64">CONCATENATE('Term Reference Guide (in-progress)'!B3," [",'Term Reference Guide (in-progress)'!C3,"]")</f>
        <v>#REF!</v>
      </c>
      <c r="P27" s="75"/>
      <c r="Q27" s="75"/>
      <c r="R27" s="75"/>
      <c r="S27" s="76" t="str">
        <f t="shared" si="8"/>
        <v>#REF!</v>
      </c>
      <c r="T27" s="75"/>
      <c r="U27" s="76" t="str">
        <f t="shared" si="60"/>
        <v>#REF!</v>
      </c>
      <c r="V27" s="75"/>
      <c r="W27" s="75"/>
      <c r="X27" s="75"/>
      <c r="Y27" s="76" t="str">
        <f t="shared" si="61"/>
        <v>#REF!</v>
      </c>
      <c r="Z27" s="75"/>
      <c r="AA27" s="75"/>
      <c r="AB27" s="75"/>
      <c r="AC27" s="75"/>
      <c r="AD27" s="75"/>
      <c r="AE27" s="75"/>
      <c r="AF27" s="75"/>
      <c r="AJ27" s="75"/>
      <c r="AK27" s="75"/>
      <c r="AL27" s="75"/>
      <c r="AM27" s="75"/>
      <c r="AN27" s="75"/>
      <c r="AO27" s="75"/>
      <c r="AP27" s="75"/>
      <c r="AQ27" s="75"/>
      <c r="AR27" s="75"/>
      <c r="AS27" s="75"/>
      <c r="AT27" s="75"/>
      <c r="AU27" s="75"/>
      <c r="AV27" s="75"/>
      <c r="AW27" s="75"/>
      <c r="AX27" s="75"/>
      <c r="AY27" s="76" t="str">
        <f t="shared" si="23"/>
        <v>#REF!</v>
      </c>
      <c r="AZ27" s="75"/>
      <c r="BA27" s="76" t="str">
        <f t="shared" si="24"/>
        <v>#REF!</v>
      </c>
      <c r="BB27" s="75"/>
      <c r="BC27" s="76" t="str">
        <f t="shared" si="25"/>
        <v>#REF!</v>
      </c>
      <c r="BD27" s="75"/>
      <c r="BE27" s="75"/>
      <c r="BF27" s="75"/>
      <c r="BH27" s="75"/>
      <c r="BI27" s="75"/>
      <c r="BJ27" s="75"/>
      <c r="BK27" s="77" t="str">
        <f t="shared" ref="BK27:BK35" si="65">CONCATENATE('Term Reference Guide (in-progress)'!B749," [",'Term Reference Guide (in-progress)'!C749,"]")</f>
        <v>#REF!</v>
      </c>
      <c r="BL27" s="75"/>
      <c r="BM27" s="77" t="str">
        <f t="shared" si="28"/>
        <v>#REF!</v>
      </c>
      <c r="BN27" s="75"/>
      <c r="BO27" s="75"/>
      <c r="BP27" s="75"/>
      <c r="BQ27" s="75"/>
      <c r="BR27" s="75"/>
      <c r="BS27" s="77" t="str">
        <f t="shared" si="31"/>
        <v>#REF!</v>
      </c>
      <c r="BT27" s="75"/>
      <c r="BU27" s="75" t="str">
        <f t="shared" si="32"/>
        <v>#REF!</v>
      </c>
      <c r="BV27" s="76"/>
      <c r="BW27" s="75"/>
      <c r="BX27" s="75"/>
    </row>
    <row r="28">
      <c r="A28" s="76" t="str">
        <f t="shared" si="1"/>
        <v>#REF!</v>
      </c>
      <c r="B28" s="75"/>
      <c r="C28" s="75"/>
      <c r="D28" s="75"/>
      <c r="E28" s="75"/>
      <c r="F28" s="75"/>
      <c r="G28" s="77" t="str">
        <f t="shared" si="63"/>
        <v>#REF!</v>
      </c>
      <c r="H28" s="75"/>
      <c r="I28" s="75"/>
      <c r="J28" s="75"/>
      <c r="K28" s="75"/>
      <c r="L28" s="75"/>
      <c r="M28" s="75"/>
      <c r="N28" s="75"/>
      <c r="O28" s="76" t="str">
        <f t="shared" si="64"/>
        <v>#REF!</v>
      </c>
      <c r="P28" s="75"/>
      <c r="Q28" s="75"/>
      <c r="R28" s="75"/>
      <c r="S28" s="76" t="str">
        <f t="shared" si="8"/>
        <v>#REF!</v>
      </c>
      <c r="T28" s="75"/>
      <c r="U28" s="75"/>
      <c r="V28" s="75"/>
      <c r="W28" s="75"/>
      <c r="X28" s="75"/>
      <c r="AD28" s="75"/>
      <c r="AE28" s="75"/>
      <c r="AF28" s="75"/>
      <c r="AJ28" s="75"/>
      <c r="AK28" s="75"/>
      <c r="AL28" s="75"/>
      <c r="AM28" s="75"/>
      <c r="AN28" s="75"/>
      <c r="AO28" s="75"/>
      <c r="AP28" s="75"/>
      <c r="AQ28" s="75"/>
      <c r="AR28" s="75"/>
      <c r="AS28" s="75"/>
      <c r="AT28" s="75"/>
      <c r="AU28" s="75"/>
      <c r="AV28" s="75"/>
      <c r="AW28" s="75"/>
      <c r="AX28" s="75"/>
      <c r="AY28" s="76" t="str">
        <f t="shared" si="23"/>
        <v>#REF!</v>
      </c>
      <c r="AZ28" s="75"/>
      <c r="BA28" s="76" t="str">
        <f t="shared" si="24"/>
        <v>#REF!</v>
      </c>
      <c r="BB28" s="75"/>
      <c r="BC28" s="76" t="str">
        <f t="shared" si="25"/>
        <v>#REF!</v>
      </c>
      <c r="BD28" s="75"/>
      <c r="BE28" s="75"/>
      <c r="BF28" s="75"/>
      <c r="BH28" s="75"/>
      <c r="BI28" s="75"/>
      <c r="BJ28" s="75"/>
      <c r="BK28" s="77" t="str">
        <f t="shared" si="65"/>
        <v>#REF!</v>
      </c>
      <c r="BL28" s="75"/>
      <c r="BM28" s="77" t="str">
        <f t="shared" si="28"/>
        <v>#REF!</v>
      </c>
      <c r="BN28" s="75"/>
      <c r="BO28" s="75"/>
      <c r="BP28" s="75"/>
      <c r="BQ28" s="75"/>
      <c r="BR28" s="75"/>
      <c r="BS28" s="77" t="str">
        <f t="shared" si="31"/>
        <v>#REF!</v>
      </c>
      <c r="BT28" s="75"/>
      <c r="BU28" s="75" t="str">
        <f t="shared" si="32"/>
        <v>#REF!</v>
      </c>
      <c r="BV28" s="75"/>
      <c r="BW28" s="75"/>
      <c r="BX28" s="75"/>
    </row>
    <row r="29">
      <c r="A29" s="76" t="str">
        <f t="shared" si="1"/>
        <v>#REF!</v>
      </c>
      <c r="B29" s="75"/>
      <c r="C29" s="75"/>
      <c r="D29" s="75"/>
      <c r="E29" s="75"/>
      <c r="F29" s="75"/>
      <c r="G29" s="77" t="str">
        <f t="shared" si="63"/>
        <v>#REF!</v>
      </c>
      <c r="H29" s="75"/>
      <c r="I29" s="75"/>
      <c r="J29" s="75"/>
      <c r="K29" s="75"/>
      <c r="L29" s="75"/>
      <c r="M29" s="75"/>
      <c r="N29" s="75"/>
      <c r="O29" s="76" t="str">
        <f t="shared" si="64"/>
        <v>#REF!</v>
      </c>
      <c r="P29" s="75"/>
      <c r="Q29" s="75"/>
      <c r="R29" s="75"/>
      <c r="S29" s="76" t="str">
        <f t="shared" si="8"/>
        <v>#REF!</v>
      </c>
      <c r="T29" s="75"/>
      <c r="U29" s="75"/>
      <c r="V29" s="75"/>
      <c r="W29" s="75"/>
      <c r="X29" s="75"/>
      <c r="AD29" s="75"/>
      <c r="AE29" s="75"/>
      <c r="AF29" s="75"/>
      <c r="AJ29" s="75"/>
      <c r="AK29" s="75"/>
      <c r="AL29" s="75"/>
      <c r="AM29" s="75"/>
      <c r="AN29" s="75"/>
      <c r="AO29" s="75"/>
      <c r="AP29" s="75"/>
      <c r="AQ29" s="75"/>
      <c r="AR29" s="75"/>
      <c r="AS29" s="75"/>
      <c r="AT29" s="75"/>
      <c r="AU29" s="75"/>
      <c r="AV29" s="75"/>
      <c r="AW29" s="75"/>
      <c r="AX29" s="75"/>
      <c r="AY29" s="76" t="str">
        <f t="shared" si="23"/>
        <v>#REF!</v>
      </c>
      <c r="AZ29" s="75"/>
      <c r="BA29" s="76" t="str">
        <f t="shared" si="24"/>
        <v>#REF!</v>
      </c>
      <c r="BB29" s="75"/>
      <c r="BC29" s="76" t="str">
        <f t="shared" si="25"/>
        <v>#REF!</v>
      </c>
      <c r="BD29" s="75"/>
      <c r="BE29" s="75"/>
      <c r="BF29" s="75"/>
      <c r="BH29" s="75"/>
      <c r="BI29" s="75"/>
      <c r="BJ29" s="75"/>
      <c r="BK29" s="77" t="str">
        <f t="shared" si="65"/>
        <v>#REF!</v>
      </c>
      <c r="BL29" s="75"/>
      <c r="BM29" s="77" t="str">
        <f t="shared" si="28"/>
        <v>#REF!</v>
      </c>
      <c r="BN29" s="75"/>
      <c r="BO29" s="75"/>
      <c r="BP29" s="75"/>
      <c r="BQ29" s="75"/>
      <c r="BR29" s="75"/>
      <c r="BS29" s="77" t="str">
        <f t="shared" si="31"/>
        <v>#REF!</v>
      </c>
      <c r="BT29" s="75"/>
      <c r="BU29" s="75" t="str">
        <f t="shared" si="32"/>
        <v>#REF!</v>
      </c>
      <c r="BV29" s="75"/>
      <c r="BW29" s="75"/>
      <c r="BX29" s="75"/>
    </row>
    <row r="30">
      <c r="A30" s="76" t="str">
        <f t="shared" si="1"/>
        <v>#REF!</v>
      </c>
      <c r="B30" s="75"/>
      <c r="C30" s="75"/>
      <c r="D30" s="75"/>
      <c r="E30" s="75"/>
      <c r="F30" s="75"/>
      <c r="G30" s="77" t="str">
        <f t="shared" si="63"/>
        <v>#REF!</v>
      </c>
      <c r="H30" s="75"/>
      <c r="I30" s="75"/>
      <c r="J30" s="75"/>
      <c r="K30" s="75"/>
      <c r="L30" s="75"/>
      <c r="M30" s="75"/>
      <c r="N30" s="75"/>
      <c r="O30" s="76" t="str">
        <f t="shared" si="64"/>
        <v>#REF!</v>
      </c>
      <c r="P30" s="76"/>
      <c r="Q30" s="75"/>
      <c r="R30" s="75"/>
      <c r="S30" s="76" t="str">
        <f t="shared" si="8"/>
        <v>#REF!</v>
      </c>
      <c r="T30" s="75"/>
      <c r="U30" s="75"/>
      <c r="V30" s="75"/>
      <c r="W30" s="75"/>
      <c r="X30" s="75"/>
      <c r="AD30" s="75"/>
      <c r="AE30" s="75"/>
      <c r="AF30" s="75"/>
      <c r="AJ30" s="75"/>
      <c r="AK30" s="75"/>
      <c r="AL30" s="75"/>
      <c r="AM30" s="75"/>
      <c r="AN30" s="75"/>
      <c r="AO30" s="75"/>
      <c r="AP30" s="75"/>
      <c r="AQ30" s="75"/>
      <c r="AR30" s="75"/>
      <c r="AS30" s="75"/>
      <c r="AT30" s="75"/>
      <c r="AU30" s="75"/>
      <c r="AV30" s="75"/>
      <c r="AW30" s="75"/>
      <c r="AX30" s="75"/>
      <c r="AY30" s="76" t="str">
        <f t="shared" si="23"/>
        <v>#REF!</v>
      </c>
      <c r="AZ30" s="75"/>
      <c r="BA30" s="76" t="str">
        <f t="shared" si="24"/>
        <v>#REF!</v>
      </c>
      <c r="BB30" s="75"/>
      <c r="BC30" s="76" t="str">
        <f t="shared" si="25"/>
        <v>#REF!</v>
      </c>
      <c r="BD30" s="75"/>
      <c r="BE30" s="75"/>
      <c r="BF30" s="75"/>
      <c r="BG30" s="75"/>
      <c r="BH30" s="75"/>
      <c r="BI30" s="75"/>
      <c r="BJ30" s="75"/>
      <c r="BK30" s="77" t="str">
        <f t="shared" si="65"/>
        <v>#REF!</v>
      </c>
      <c r="BL30" s="75"/>
      <c r="BM30" s="77" t="str">
        <f t="shared" si="28"/>
        <v>#REF!</v>
      </c>
      <c r="BN30" s="75"/>
      <c r="BO30" s="75"/>
      <c r="BP30" s="75"/>
      <c r="BQ30" s="75"/>
      <c r="BR30" s="75"/>
      <c r="BS30" s="77" t="str">
        <f t="shared" si="31"/>
        <v>#REF!</v>
      </c>
      <c r="BT30" s="75"/>
      <c r="BU30" s="75" t="str">
        <f t="shared" si="32"/>
        <v>#REF!</v>
      </c>
      <c r="BV30" s="75"/>
      <c r="BW30" s="75"/>
      <c r="BX30" s="75"/>
    </row>
    <row r="31">
      <c r="A31" s="76" t="str">
        <f t="shared" si="1"/>
        <v>#REF!</v>
      </c>
      <c r="B31" s="75"/>
      <c r="C31" s="75"/>
      <c r="D31" s="75"/>
      <c r="E31" s="75"/>
      <c r="F31" s="75"/>
      <c r="G31" s="77" t="str">
        <f t="shared" si="63"/>
        <v>#REF!</v>
      </c>
      <c r="H31" s="75"/>
      <c r="I31" s="75"/>
      <c r="J31" s="75"/>
      <c r="K31" s="75"/>
      <c r="L31" s="75"/>
      <c r="M31" s="75"/>
      <c r="N31" s="75"/>
      <c r="O31" s="76" t="str">
        <f t="shared" si="64"/>
        <v>#REF!</v>
      </c>
      <c r="P31" s="76"/>
      <c r="Q31" s="75"/>
      <c r="R31" s="75"/>
      <c r="S31" s="76" t="str">
        <f t="shared" si="8"/>
        <v>#REF!</v>
      </c>
      <c r="T31" s="75"/>
      <c r="U31" s="75"/>
      <c r="V31" s="75"/>
      <c r="W31" s="75"/>
      <c r="X31" s="75"/>
      <c r="AD31" s="75"/>
      <c r="AE31" s="75"/>
      <c r="AF31" s="75"/>
      <c r="AG31" s="75"/>
      <c r="AH31" s="75"/>
      <c r="AI31" s="75"/>
      <c r="AJ31" s="75"/>
      <c r="AK31" s="75"/>
      <c r="AL31" s="75"/>
      <c r="AM31" s="75"/>
      <c r="AN31" s="75"/>
      <c r="AO31" s="75"/>
      <c r="AP31" s="75"/>
      <c r="AQ31" s="75"/>
      <c r="AR31" s="75"/>
      <c r="AS31" s="75"/>
      <c r="AT31" s="75"/>
      <c r="AU31" s="75"/>
      <c r="AV31" s="75"/>
      <c r="AW31" s="75"/>
      <c r="AX31" s="75"/>
      <c r="AY31" s="76" t="str">
        <f t="shared" si="23"/>
        <v>#REF!</v>
      </c>
      <c r="AZ31" s="76"/>
      <c r="BA31" s="76" t="str">
        <f t="shared" si="24"/>
        <v>#REF!</v>
      </c>
      <c r="BB31" s="75"/>
      <c r="BC31" s="76" t="str">
        <f t="shared" si="25"/>
        <v>#REF!</v>
      </c>
      <c r="BD31" s="75"/>
      <c r="BE31" s="75"/>
      <c r="BF31" s="75"/>
      <c r="BG31" s="75"/>
      <c r="BH31" s="75"/>
      <c r="BI31" s="75"/>
      <c r="BJ31" s="75"/>
      <c r="BK31" s="77" t="str">
        <f t="shared" si="65"/>
        <v>#REF!</v>
      </c>
      <c r="BL31" s="75"/>
      <c r="BM31" s="77" t="str">
        <f t="shared" si="28"/>
        <v>#REF!</v>
      </c>
      <c r="BN31" s="75"/>
      <c r="BO31" s="75"/>
      <c r="BP31" s="75"/>
      <c r="BQ31" s="75"/>
      <c r="BR31" s="75"/>
      <c r="BS31" s="77" t="str">
        <f t="shared" si="31"/>
        <v>#REF!</v>
      </c>
      <c r="BT31" s="75"/>
      <c r="BU31" s="75" t="str">
        <f t="shared" si="32"/>
        <v>#REF!</v>
      </c>
      <c r="BV31" s="75"/>
      <c r="BW31" s="75"/>
      <c r="BX31" s="75"/>
    </row>
    <row r="32">
      <c r="A32" s="76" t="str">
        <f t="shared" si="1"/>
        <v>#REF!</v>
      </c>
      <c r="B32" s="75"/>
      <c r="C32" s="75"/>
      <c r="D32" s="75"/>
      <c r="E32" s="75"/>
      <c r="F32" s="75"/>
      <c r="G32" s="75"/>
      <c r="H32" s="75"/>
      <c r="I32" s="75"/>
      <c r="J32" s="75"/>
      <c r="K32" s="75"/>
      <c r="L32" s="75"/>
      <c r="M32" s="75"/>
      <c r="N32" s="75"/>
      <c r="P32" s="75"/>
      <c r="Q32" s="75"/>
      <c r="R32" s="75"/>
      <c r="S32" s="76" t="str">
        <f t="shared" si="8"/>
        <v>#REF!</v>
      </c>
      <c r="T32" s="75"/>
      <c r="U32" s="75"/>
      <c r="V32" s="75"/>
      <c r="W32" s="75"/>
      <c r="X32" s="75"/>
      <c r="AD32" s="75"/>
      <c r="AE32" s="75"/>
      <c r="AF32" s="75"/>
      <c r="AG32" s="75"/>
      <c r="AH32" s="75"/>
      <c r="AI32" s="75"/>
      <c r="AJ32" s="75"/>
      <c r="AK32" s="75"/>
      <c r="AL32" s="75"/>
      <c r="AM32" s="75"/>
      <c r="AN32" s="75"/>
      <c r="AO32" s="75"/>
      <c r="AP32" s="75"/>
      <c r="AQ32" s="75"/>
      <c r="AR32" s="75"/>
      <c r="AS32" s="75"/>
      <c r="AT32" s="75"/>
      <c r="AU32" s="75"/>
      <c r="AV32" s="75"/>
      <c r="AW32" s="75"/>
      <c r="AX32" s="75"/>
      <c r="AY32" s="76" t="str">
        <f t="shared" si="23"/>
        <v>#REF!</v>
      </c>
      <c r="AZ32" s="75"/>
      <c r="BA32" s="76" t="str">
        <f t="shared" si="24"/>
        <v>#REF!</v>
      </c>
      <c r="BB32" s="75"/>
      <c r="BC32" s="76" t="str">
        <f t="shared" si="25"/>
        <v>#REF!</v>
      </c>
      <c r="BD32" s="75"/>
      <c r="BE32" s="75"/>
      <c r="BF32" s="75"/>
      <c r="BG32" s="75"/>
      <c r="BH32" s="75"/>
      <c r="BI32" s="75"/>
      <c r="BJ32" s="75"/>
      <c r="BK32" s="77" t="str">
        <f t="shared" si="65"/>
        <v>#REF!</v>
      </c>
      <c r="BL32" s="75"/>
      <c r="BM32" s="77" t="str">
        <f t="shared" si="28"/>
        <v>#REF!</v>
      </c>
      <c r="BN32" s="75"/>
      <c r="BO32" s="75"/>
      <c r="BP32" s="75"/>
      <c r="BQ32" s="75"/>
      <c r="BR32" s="75"/>
      <c r="BS32" s="77" t="str">
        <f t="shared" si="31"/>
        <v>#REF!</v>
      </c>
      <c r="BT32" s="75"/>
      <c r="BU32" s="75" t="str">
        <f t="shared" si="32"/>
        <v>#REF!</v>
      </c>
      <c r="BV32" s="75"/>
      <c r="BW32" s="75"/>
      <c r="BX32" s="75"/>
    </row>
    <row r="33">
      <c r="A33" s="76" t="str">
        <f t="shared" si="1"/>
        <v>#REF!</v>
      </c>
      <c r="B33" s="75"/>
      <c r="C33" s="75"/>
      <c r="D33" s="75"/>
      <c r="E33" s="75"/>
      <c r="F33" s="75"/>
      <c r="G33" s="75"/>
      <c r="H33" s="75"/>
      <c r="I33" s="75"/>
      <c r="J33" s="75"/>
      <c r="K33" s="75"/>
      <c r="L33" s="75"/>
      <c r="M33" s="75"/>
      <c r="N33" s="75"/>
      <c r="P33" s="75"/>
      <c r="Q33" s="75"/>
      <c r="R33" s="75"/>
      <c r="S33" s="76" t="str">
        <f t="shared" si="8"/>
        <v>#REF!</v>
      </c>
      <c r="T33" s="75"/>
      <c r="U33" s="75"/>
      <c r="V33" s="75"/>
      <c r="W33" s="75"/>
      <c r="X33" s="75"/>
      <c r="AD33" s="75"/>
      <c r="AE33" s="75"/>
      <c r="AF33" s="75"/>
      <c r="AG33" s="75"/>
      <c r="AH33" s="75"/>
      <c r="AI33" s="75"/>
      <c r="AJ33" s="75"/>
      <c r="AK33" s="75"/>
      <c r="AL33" s="75"/>
      <c r="AM33" s="75"/>
      <c r="AN33" s="75"/>
      <c r="AO33" s="75"/>
      <c r="AP33" s="75"/>
      <c r="AQ33" s="75"/>
      <c r="AR33" s="75"/>
      <c r="AS33" s="75"/>
      <c r="AT33" s="75"/>
      <c r="AU33" s="75"/>
      <c r="AV33" s="75"/>
      <c r="AW33" s="75"/>
      <c r="AX33" s="75"/>
      <c r="AY33" s="76" t="str">
        <f t="shared" si="23"/>
        <v>#REF!</v>
      </c>
      <c r="AZ33" s="75"/>
      <c r="BA33" s="76" t="str">
        <f t="shared" si="24"/>
        <v>#REF!</v>
      </c>
      <c r="BB33" s="75"/>
      <c r="BC33" s="76" t="str">
        <f t="shared" si="25"/>
        <v>#REF!</v>
      </c>
      <c r="BD33" s="75"/>
      <c r="BE33" s="75"/>
      <c r="BF33" s="75"/>
      <c r="BG33" s="75"/>
      <c r="BH33" s="75"/>
      <c r="BI33" s="75"/>
      <c r="BJ33" s="75"/>
      <c r="BK33" s="77" t="str">
        <f t="shared" si="65"/>
        <v>#REF!</v>
      </c>
      <c r="BL33" s="75"/>
      <c r="BM33" s="77" t="str">
        <f t="shared" si="28"/>
        <v>#REF!</v>
      </c>
      <c r="BN33" s="75"/>
      <c r="BO33" s="75"/>
      <c r="BP33" s="75"/>
      <c r="BQ33" s="75"/>
      <c r="BR33" s="75"/>
      <c r="BS33" s="77" t="str">
        <f t="shared" si="31"/>
        <v>#REF!</v>
      </c>
      <c r="BT33" s="75"/>
      <c r="BU33" s="75" t="str">
        <f t="shared" si="32"/>
        <v>#REF!</v>
      </c>
      <c r="BV33" s="75"/>
      <c r="BW33" s="75"/>
      <c r="BX33" s="75"/>
    </row>
    <row r="34">
      <c r="A34" s="76" t="str">
        <f t="shared" si="1"/>
        <v>#REF!</v>
      </c>
      <c r="B34" s="75"/>
      <c r="C34" s="75"/>
      <c r="D34" s="75"/>
      <c r="E34" s="75"/>
      <c r="F34" s="75"/>
      <c r="G34" s="75"/>
      <c r="H34" s="75"/>
      <c r="I34" s="75"/>
      <c r="J34" s="75"/>
      <c r="K34" s="75"/>
      <c r="L34" s="75"/>
      <c r="M34" s="75"/>
      <c r="N34" s="75"/>
      <c r="P34" s="75"/>
      <c r="Q34" s="75"/>
      <c r="R34" s="75"/>
      <c r="S34" s="76" t="str">
        <f t="shared" si="8"/>
        <v>#REF!</v>
      </c>
      <c r="T34" s="75"/>
      <c r="U34" s="75"/>
      <c r="V34" s="75"/>
      <c r="W34" s="75"/>
      <c r="X34" s="75"/>
      <c r="AD34" s="75"/>
      <c r="AE34" s="75"/>
      <c r="AF34" s="75"/>
      <c r="AG34" s="75"/>
      <c r="AH34" s="75"/>
      <c r="AI34" s="75"/>
      <c r="AJ34" s="75"/>
      <c r="AK34" s="75"/>
      <c r="AL34" s="75"/>
      <c r="AM34" s="75"/>
      <c r="AN34" s="75"/>
      <c r="AO34" s="75"/>
      <c r="AP34" s="75"/>
      <c r="AQ34" s="75"/>
      <c r="AR34" s="75"/>
      <c r="AS34" s="75"/>
      <c r="AT34" s="75"/>
      <c r="AU34" s="75"/>
      <c r="AV34" s="75"/>
      <c r="AW34" s="75"/>
      <c r="AX34" s="75"/>
      <c r="AY34" s="76" t="str">
        <f t="shared" si="23"/>
        <v>#REF!</v>
      </c>
      <c r="AZ34" s="75"/>
      <c r="BA34" s="76" t="str">
        <f t="shared" si="24"/>
        <v>#REF!</v>
      </c>
      <c r="BB34" s="75"/>
      <c r="BC34" s="76" t="str">
        <f t="shared" si="25"/>
        <v>#REF!</v>
      </c>
      <c r="BD34" s="75"/>
      <c r="BE34" s="75"/>
      <c r="BF34" s="75"/>
      <c r="BG34" s="75"/>
      <c r="BH34" s="75"/>
      <c r="BI34" s="75"/>
      <c r="BJ34" s="75"/>
      <c r="BK34" s="77" t="str">
        <f t="shared" si="65"/>
        <v>#REF!</v>
      </c>
      <c r="BL34" s="75"/>
      <c r="BM34" s="77" t="str">
        <f t="shared" si="28"/>
        <v>#REF!</v>
      </c>
      <c r="BN34" s="75"/>
      <c r="BO34" s="75"/>
      <c r="BP34" s="75"/>
      <c r="BQ34" s="75"/>
      <c r="BR34" s="75"/>
      <c r="BS34" s="77" t="str">
        <f t="shared" si="31"/>
        <v>#REF!</v>
      </c>
      <c r="BT34" s="75"/>
      <c r="BU34" s="75" t="str">
        <f t="shared" si="32"/>
        <v>#REF!</v>
      </c>
      <c r="BV34" s="75"/>
      <c r="BW34" s="75"/>
      <c r="BX34" s="75"/>
    </row>
    <row r="35">
      <c r="A35" s="76" t="str">
        <f t="shared" si="1"/>
        <v>#REF!</v>
      </c>
      <c r="B35" s="75"/>
      <c r="C35" s="75"/>
      <c r="D35" s="75"/>
      <c r="E35" s="75"/>
      <c r="F35" s="75"/>
      <c r="G35" s="75"/>
      <c r="H35" s="75"/>
      <c r="I35" s="75"/>
      <c r="J35" s="75"/>
      <c r="K35" s="75"/>
      <c r="L35" s="75"/>
      <c r="M35" s="75"/>
      <c r="N35" s="75"/>
      <c r="P35" s="75"/>
      <c r="Q35" s="75"/>
      <c r="R35" s="75"/>
      <c r="S35" s="76" t="str">
        <f t="shared" ref="S35:S39" si="66">CONCATENATE('Term Reference Guide (in-progress)'!B3," [",'Term Reference Guide (in-progress)'!C3,"]")</f>
        <v>#REF!</v>
      </c>
      <c r="T35" s="75"/>
      <c r="U35" s="75"/>
      <c r="V35" s="75"/>
      <c r="W35" s="75"/>
      <c r="X35" s="75"/>
      <c r="AD35" s="75"/>
      <c r="AE35" s="75"/>
      <c r="AF35" s="75"/>
      <c r="AG35" s="75"/>
      <c r="AH35" s="75"/>
      <c r="AI35" s="75"/>
      <c r="AJ35" s="75"/>
      <c r="AK35" s="75"/>
      <c r="AL35" s="75"/>
      <c r="AM35" s="75"/>
      <c r="AN35" s="75"/>
      <c r="AO35" s="75"/>
      <c r="AP35" s="75"/>
      <c r="AQ35" s="75"/>
      <c r="AR35" s="75"/>
      <c r="AS35" s="75"/>
      <c r="AT35" s="75"/>
      <c r="AU35" s="75"/>
      <c r="AV35" s="75"/>
      <c r="AW35" s="75"/>
      <c r="AX35" s="75"/>
      <c r="AY35" s="76" t="str">
        <f t="shared" si="23"/>
        <v>#REF!</v>
      </c>
      <c r="AZ35" s="75"/>
      <c r="BA35" s="76" t="str">
        <f t="shared" si="24"/>
        <v>#REF!</v>
      </c>
      <c r="BB35" s="75"/>
      <c r="BC35" s="76" t="str">
        <f t="shared" si="25"/>
        <v>#REF!</v>
      </c>
      <c r="BD35" s="75"/>
      <c r="BE35" s="75"/>
      <c r="BF35" s="75"/>
      <c r="BG35" s="75"/>
      <c r="BH35" s="75"/>
      <c r="BI35" s="75"/>
      <c r="BJ35" s="75"/>
      <c r="BK35" s="77" t="str">
        <f t="shared" si="65"/>
        <v>#REF!</v>
      </c>
      <c r="BL35" s="75"/>
      <c r="BM35" s="77" t="str">
        <f t="shared" si="28"/>
        <v>#REF!</v>
      </c>
      <c r="BN35" s="75"/>
      <c r="BO35" s="75"/>
      <c r="BP35" s="75"/>
      <c r="BQ35" s="75"/>
      <c r="BR35" s="75"/>
      <c r="BS35" s="77" t="str">
        <f t="shared" si="31"/>
        <v>#REF!</v>
      </c>
      <c r="BT35" s="75"/>
      <c r="BU35" s="75" t="str">
        <f>CONCATENATE('Term Reference Guide (in-progress)'!B3," [",'Term Reference Guide (in-progress)'!C3,"]")</f>
        <v>#REF!</v>
      </c>
      <c r="BV35" s="75"/>
      <c r="BW35" s="75"/>
      <c r="BX35" s="75"/>
    </row>
    <row r="36">
      <c r="A36" s="76" t="str">
        <f t="shared" si="1"/>
        <v>#REF!</v>
      </c>
      <c r="B36" s="75"/>
      <c r="C36" s="75"/>
      <c r="D36" s="75"/>
      <c r="E36" s="75"/>
      <c r="F36" s="75"/>
      <c r="G36" s="75"/>
      <c r="H36" s="75"/>
      <c r="I36" s="75"/>
      <c r="J36" s="75"/>
      <c r="K36" s="75"/>
      <c r="L36" s="75"/>
      <c r="M36" s="75"/>
      <c r="N36" s="75"/>
      <c r="P36" s="75"/>
      <c r="Q36" s="75"/>
      <c r="R36" s="75"/>
      <c r="S36" s="76" t="str">
        <f t="shared" si="66"/>
        <v>#REF!</v>
      </c>
      <c r="T36" s="75"/>
      <c r="U36" s="75"/>
      <c r="V36" s="75"/>
      <c r="W36" s="75"/>
      <c r="X36" s="75"/>
      <c r="Y36" s="76"/>
      <c r="Z36" s="75"/>
      <c r="AA36" s="75"/>
      <c r="AB36" s="75"/>
      <c r="AC36" s="75"/>
      <c r="AD36" s="75"/>
      <c r="AE36" s="75"/>
      <c r="AF36" s="75"/>
      <c r="AG36" s="75"/>
      <c r="AH36" s="75"/>
      <c r="AI36" s="75"/>
      <c r="AJ36" s="75"/>
      <c r="AK36" s="75"/>
      <c r="AL36" s="75"/>
      <c r="AM36" s="75"/>
      <c r="AN36" s="75"/>
      <c r="AO36" s="75"/>
      <c r="AP36" s="75"/>
      <c r="AQ36" s="75"/>
      <c r="AR36" s="75"/>
      <c r="AS36" s="75"/>
      <c r="AT36" s="75"/>
      <c r="AU36" s="75"/>
      <c r="AV36" s="75"/>
      <c r="AW36" s="75"/>
      <c r="AX36" s="75"/>
      <c r="AY36" s="76" t="str">
        <f t="shared" si="23"/>
        <v>#REF!</v>
      </c>
      <c r="AZ36" s="75"/>
      <c r="BA36" s="76" t="str">
        <f t="shared" si="24"/>
        <v>#REF!</v>
      </c>
      <c r="BB36" s="75"/>
      <c r="BC36" s="76" t="str">
        <f t="shared" si="25"/>
        <v>#REF!</v>
      </c>
      <c r="BD36" s="75"/>
      <c r="BE36" s="75"/>
      <c r="BF36" s="75"/>
      <c r="BG36" s="75"/>
      <c r="BH36" s="75"/>
      <c r="BI36" s="75"/>
      <c r="BJ36" s="75"/>
      <c r="BK36" s="82" t="s">
        <v>113</v>
      </c>
      <c r="BL36" s="75"/>
      <c r="BM36" s="77" t="str">
        <f t="shared" si="28"/>
        <v>#REF!</v>
      </c>
      <c r="BN36" s="75"/>
      <c r="BO36" s="75"/>
      <c r="BP36" s="75"/>
      <c r="BQ36" s="75"/>
      <c r="BR36" s="75"/>
      <c r="BS36" s="77" t="str">
        <f t="shared" si="31"/>
        <v>#REF!</v>
      </c>
      <c r="BT36" s="75"/>
      <c r="BU36" s="75" t="str">
        <f>CONCATENATE('Term Reference Guide (in-progress)'!B6," [",'Term Reference Guide (in-progress)'!C6,"]")</f>
        <v>#REF!</v>
      </c>
      <c r="BV36" s="75"/>
      <c r="BW36" s="75"/>
      <c r="BX36" s="75"/>
    </row>
    <row r="37">
      <c r="A37" s="76" t="str">
        <f t="shared" si="1"/>
        <v>#REF!</v>
      </c>
      <c r="B37" s="75"/>
      <c r="C37" s="75"/>
      <c r="D37" s="75"/>
      <c r="E37" s="75"/>
      <c r="F37" s="75"/>
      <c r="G37" s="75"/>
      <c r="H37" s="75"/>
      <c r="I37" s="75"/>
      <c r="J37" s="75"/>
      <c r="K37" s="75"/>
      <c r="L37" s="75"/>
      <c r="M37" s="75"/>
      <c r="N37" s="75"/>
      <c r="P37" s="75"/>
      <c r="Q37" s="75"/>
      <c r="R37" s="75"/>
      <c r="S37" s="76" t="str">
        <f t="shared" si="66"/>
        <v>#REF!</v>
      </c>
      <c r="T37" s="75"/>
      <c r="U37" s="75"/>
      <c r="V37" s="75"/>
      <c r="W37" s="75"/>
      <c r="X37" s="75"/>
      <c r="Y37" s="75"/>
      <c r="Z37" s="75"/>
      <c r="AA37" s="75"/>
      <c r="AB37" s="75"/>
      <c r="AC37" s="75"/>
      <c r="AD37" s="75"/>
      <c r="AE37" s="75"/>
      <c r="AF37" s="75"/>
      <c r="AG37" s="75"/>
      <c r="AH37" s="75"/>
      <c r="AI37" s="75"/>
      <c r="AJ37" s="75"/>
      <c r="AK37" s="75"/>
      <c r="AL37" s="75"/>
      <c r="AM37" s="75"/>
      <c r="AN37" s="75"/>
      <c r="AO37" s="75"/>
      <c r="AP37" s="75"/>
      <c r="AQ37" s="75"/>
      <c r="AR37" s="75"/>
      <c r="AS37" s="75"/>
      <c r="AT37" s="75"/>
      <c r="AU37" s="75"/>
      <c r="AV37" s="75"/>
      <c r="AW37" s="75"/>
      <c r="AX37" s="75"/>
      <c r="AY37" s="76" t="str">
        <f t="shared" si="23"/>
        <v>#REF!</v>
      </c>
      <c r="AZ37" s="75"/>
      <c r="BA37" s="76" t="str">
        <f t="shared" si="24"/>
        <v>#REF!</v>
      </c>
      <c r="BB37" s="75"/>
      <c r="BC37" s="76" t="str">
        <f t="shared" si="25"/>
        <v>#REF!</v>
      </c>
      <c r="BD37" s="75"/>
      <c r="BE37" s="75"/>
      <c r="BF37" s="75"/>
      <c r="BG37" s="75"/>
      <c r="BH37" s="75"/>
      <c r="BI37" s="75"/>
      <c r="BJ37" s="75"/>
      <c r="BK37" s="77" t="str">
        <f t="shared" ref="BK37:BK41" si="67">CONCATENATE('Term Reference Guide (in-progress)'!B3," [",'Term Reference Guide (in-progress)'!C3,"]")</f>
        <v>#REF!</v>
      </c>
      <c r="BL37" s="75"/>
      <c r="BM37" s="77" t="str">
        <f t="shared" si="28"/>
        <v>#REF!</v>
      </c>
      <c r="BN37" s="75"/>
      <c r="BO37" s="75"/>
      <c r="BP37" s="75"/>
      <c r="BQ37" s="75"/>
      <c r="BR37" s="75"/>
      <c r="BS37" s="77" t="str">
        <f t="shared" si="31"/>
        <v>#REF!</v>
      </c>
      <c r="BT37" s="75"/>
      <c r="BU37" s="75" t="str">
        <f t="shared" ref="BU37:BU38" si="68">CONCATENATE('Term Reference Guide (in-progress)'!B4," [",'Term Reference Guide (in-progress)'!C4,"]")</f>
        <v>#REF!</v>
      </c>
      <c r="BV37" s="75"/>
      <c r="BW37" s="75"/>
      <c r="BX37" s="75"/>
    </row>
    <row r="38">
      <c r="A38" s="76" t="str">
        <f t="shared" si="1"/>
        <v>#REF!</v>
      </c>
      <c r="B38" s="75"/>
      <c r="C38" s="75"/>
      <c r="D38" s="75"/>
      <c r="E38" s="75"/>
      <c r="F38" s="75"/>
      <c r="G38" s="75"/>
      <c r="H38" s="75"/>
      <c r="I38" s="75"/>
      <c r="J38" s="75"/>
      <c r="K38" s="75"/>
      <c r="L38" s="75"/>
      <c r="M38" s="75"/>
      <c r="N38" s="75"/>
      <c r="P38" s="75"/>
      <c r="Q38" s="75"/>
      <c r="R38" s="75"/>
      <c r="S38" s="76" t="str">
        <f t="shared" si="66"/>
        <v>#REF!</v>
      </c>
      <c r="T38" s="75"/>
      <c r="U38" s="75"/>
      <c r="V38" s="75"/>
      <c r="W38" s="75"/>
      <c r="X38" s="75"/>
      <c r="Y38" s="75"/>
      <c r="Z38" s="75"/>
      <c r="AA38" s="75"/>
      <c r="AB38" s="75"/>
      <c r="AC38" s="75"/>
      <c r="AD38" s="75"/>
      <c r="AE38" s="75"/>
      <c r="AF38" s="75"/>
      <c r="AG38" s="75"/>
      <c r="AH38" s="75"/>
      <c r="AI38" s="75"/>
      <c r="AJ38" s="75"/>
      <c r="AK38" s="75"/>
      <c r="AL38" s="75"/>
      <c r="AM38" s="75"/>
      <c r="AN38" s="75"/>
      <c r="AO38" s="75"/>
      <c r="AP38" s="75"/>
      <c r="AQ38" s="75"/>
      <c r="AR38" s="75"/>
      <c r="AS38" s="75"/>
      <c r="AT38" s="75"/>
      <c r="AU38" s="75"/>
      <c r="AV38" s="75"/>
      <c r="AW38" s="75"/>
      <c r="AX38" s="75"/>
      <c r="AY38" s="76" t="str">
        <f t="shared" si="23"/>
        <v>#REF!</v>
      </c>
      <c r="AZ38" s="75"/>
      <c r="BA38" s="76" t="str">
        <f t="shared" si="24"/>
        <v>#REF!</v>
      </c>
      <c r="BB38" s="75"/>
      <c r="BC38" s="76" t="str">
        <f t="shared" si="25"/>
        <v>#REF!</v>
      </c>
      <c r="BD38" s="75"/>
      <c r="BE38" s="75"/>
      <c r="BF38" s="75"/>
      <c r="BG38" s="75"/>
      <c r="BH38" s="75"/>
      <c r="BI38" s="75"/>
      <c r="BJ38" s="75"/>
      <c r="BK38" s="77" t="str">
        <f t="shared" si="67"/>
        <v>#REF!</v>
      </c>
      <c r="BL38" s="75"/>
      <c r="BM38" s="77" t="str">
        <f t="shared" si="28"/>
        <v>#REF!</v>
      </c>
      <c r="BN38" s="75"/>
      <c r="BO38" s="75"/>
      <c r="BP38" s="75"/>
      <c r="BQ38" s="75"/>
      <c r="BR38" s="75"/>
      <c r="BS38" s="77" t="str">
        <f t="shared" si="31"/>
        <v>#REF!</v>
      </c>
      <c r="BT38" s="75"/>
      <c r="BU38" s="75" t="str">
        <f t="shared" si="68"/>
        <v>#REF!</v>
      </c>
      <c r="BV38" s="75"/>
      <c r="BW38" s="75"/>
      <c r="BX38" s="75"/>
    </row>
    <row r="39">
      <c r="A39" s="76" t="str">
        <f t="shared" si="1"/>
        <v>#REF!</v>
      </c>
      <c r="B39" s="75"/>
      <c r="C39" s="75"/>
      <c r="D39" s="75"/>
      <c r="E39" s="75"/>
      <c r="F39" s="75"/>
      <c r="G39" s="75"/>
      <c r="H39" s="75"/>
      <c r="I39" s="75"/>
      <c r="J39" s="75"/>
      <c r="K39" s="75"/>
      <c r="L39" s="75"/>
      <c r="M39" s="75"/>
      <c r="N39" s="75"/>
      <c r="O39" s="75"/>
      <c r="P39" s="75"/>
      <c r="Q39" s="75"/>
      <c r="R39" s="75"/>
      <c r="S39" s="76" t="str">
        <f t="shared" si="66"/>
        <v>#REF!</v>
      </c>
      <c r="T39" s="75"/>
      <c r="U39" s="75"/>
      <c r="V39" s="75"/>
      <c r="W39" s="75"/>
      <c r="X39" s="75"/>
      <c r="Y39" s="75"/>
      <c r="Z39" s="75"/>
      <c r="AA39" s="75"/>
      <c r="AB39" s="75"/>
      <c r="AC39" s="75"/>
      <c r="AD39" s="75"/>
      <c r="AE39" s="75"/>
      <c r="AF39" s="75"/>
      <c r="AG39" s="75"/>
      <c r="AH39" s="75"/>
      <c r="AI39" s="75"/>
      <c r="AJ39" s="75"/>
      <c r="AK39" s="75"/>
      <c r="AL39" s="75"/>
      <c r="AM39" s="75"/>
      <c r="AN39" s="75"/>
      <c r="AO39" s="75"/>
      <c r="AP39" s="75"/>
      <c r="AQ39" s="75"/>
      <c r="AR39" s="75"/>
      <c r="AS39" s="75"/>
      <c r="AT39" s="75"/>
      <c r="AU39" s="75"/>
      <c r="AV39" s="75"/>
      <c r="AW39" s="75"/>
      <c r="AX39" s="75"/>
      <c r="AY39" s="76" t="str">
        <f t="shared" si="23"/>
        <v>#REF!</v>
      </c>
      <c r="AZ39" s="75"/>
      <c r="BA39" s="76" t="str">
        <f t="shared" si="24"/>
        <v>#REF!</v>
      </c>
      <c r="BB39" s="75"/>
      <c r="BC39" s="76" t="str">
        <f t="shared" si="25"/>
        <v>#REF!</v>
      </c>
      <c r="BD39" s="75"/>
      <c r="BE39" s="75"/>
      <c r="BF39" s="75"/>
      <c r="BG39" s="75"/>
      <c r="BH39" s="75"/>
      <c r="BI39" s="75"/>
      <c r="BJ39" s="75"/>
      <c r="BK39" s="77" t="str">
        <f t="shared" si="67"/>
        <v>#REF!</v>
      </c>
      <c r="BL39" s="75"/>
      <c r="BM39" s="77" t="str">
        <f t="shared" si="28"/>
        <v>#REF!</v>
      </c>
      <c r="BN39" s="75"/>
      <c r="BO39" s="75"/>
      <c r="BP39" s="75"/>
      <c r="BQ39" s="75"/>
      <c r="BR39" s="75"/>
      <c r="BS39" s="77" t="str">
        <f t="shared" si="31"/>
        <v>#REF!</v>
      </c>
      <c r="BT39" s="75"/>
      <c r="BU39" s="75" t="str">
        <f>CONCATENATE('Term Reference Guide (in-progress)'!B7," [",'Term Reference Guide (in-progress)'!C7,"]")</f>
        <v>#REF!</v>
      </c>
      <c r="BV39" s="75"/>
      <c r="BW39" s="75"/>
      <c r="BX39" s="75"/>
    </row>
    <row r="40">
      <c r="A40" s="76" t="str">
        <f t="shared" si="1"/>
        <v>#REF!</v>
      </c>
      <c r="B40" s="75"/>
      <c r="C40" s="75"/>
      <c r="D40" s="75"/>
      <c r="E40" s="75"/>
      <c r="F40" s="75"/>
      <c r="G40" s="75"/>
      <c r="H40" s="75"/>
      <c r="I40" s="75"/>
      <c r="J40" s="75"/>
      <c r="K40" s="75"/>
      <c r="L40" s="75"/>
      <c r="M40" s="75"/>
      <c r="N40" s="75"/>
      <c r="O40" s="75"/>
      <c r="P40" s="75"/>
      <c r="Q40" s="75"/>
      <c r="R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6" t="str">
        <f t="shared" si="23"/>
        <v>#REF!</v>
      </c>
      <c r="AZ40" s="75"/>
      <c r="BA40" s="76" t="str">
        <f t="shared" si="24"/>
        <v>#REF!</v>
      </c>
      <c r="BB40" s="75"/>
      <c r="BC40" s="76" t="str">
        <f t="shared" si="25"/>
        <v>#REF!</v>
      </c>
      <c r="BD40" s="75"/>
      <c r="BE40" s="75"/>
      <c r="BF40" s="75"/>
      <c r="BG40" s="75"/>
      <c r="BH40" s="75"/>
      <c r="BI40" s="75"/>
      <c r="BJ40" s="75"/>
      <c r="BK40" s="77" t="str">
        <f t="shared" si="67"/>
        <v>#REF!</v>
      </c>
      <c r="BL40" s="75"/>
      <c r="BM40" s="77" t="str">
        <f t="shared" si="28"/>
        <v>#REF!</v>
      </c>
      <c r="BN40" s="75"/>
      <c r="BO40" s="75"/>
      <c r="BP40" s="75"/>
      <c r="BQ40" s="75"/>
      <c r="BR40" s="75"/>
      <c r="BS40" s="77" t="str">
        <f t="shared" si="31"/>
        <v>#REF!</v>
      </c>
      <c r="BT40" s="75"/>
      <c r="BU40" s="75"/>
      <c r="BV40" s="75"/>
      <c r="BW40" s="75"/>
      <c r="BX40" s="75"/>
    </row>
    <row r="41">
      <c r="A41" s="76" t="str">
        <f t="shared" si="1"/>
        <v>#REF!</v>
      </c>
      <c r="B41" s="75"/>
      <c r="C41" s="75"/>
      <c r="D41" s="75"/>
      <c r="E41" s="75"/>
      <c r="F41" s="75"/>
      <c r="G41" s="75"/>
      <c r="H41" s="75"/>
      <c r="I41" s="75"/>
      <c r="J41" s="75"/>
      <c r="K41" s="75"/>
      <c r="L41" s="75"/>
      <c r="M41" s="75"/>
      <c r="N41" s="75"/>
      <c r="O41" s="75"/>
      <c r="P41" s="75"/>
      <c r="Q41" s="75"/>
      <c r="R41" s="75"/>
      <c r="X41" s="75"/>
      <c r="Y41" s="75"/>
      <c r="Z41" s="75"/>
      <c r="AA41" s="75"/>
      <c r="AB41" s="75"/>
      <c r="AC41" s="75"/>
      <c r="AD41" s="75"/>
      <c r="AE41" s="75"/>
      <c r="AF41" s="75"/>
      <c r="AG41" s="75"/>
      <c r="AH41" s="75"/>
      <c r="AI41" s="75"/>
      <c r="AJ41" s="75"/>
      <c r="AK41" s="75"/>
      <c r="AL41" s="75"/>
      <c r="AM41" s="75"/>
      <c r="AN41" s="75"/>
      <c r="AO41" s="75"/>
      <c r="AP41" s="75"/>
      <c r="AQ41" s="75"/>
      <c r="AR41" s="75"/>
      <c r="AS41" s="75"/>
      <c r="AT41" s="75"/>
      <c r="AU41" s="75"/>
      <c r="AV41" s="75"/>
      <c r="AW41" s="75"/>
      <c r="AX41" s="75"/>
      <c r="AY41" s="76" t="str">
        <f t="shared" si="23"/>
        <v>#REF!</v>
      </c>
      <c r="AZ41" s="75"/>
      <c r="BA41" s="76" t="str">
        <f t="shared" si="24"/>
        <v>#REF!</v>
      </c>
      <c r="BB41" s="75"/>
      <c r="BC41" s="76" t="str">
        <f t="shared" si="25"/>
        <v>#REF!</v>
      </c>
      <c r="BD41" s="75"/>
      <c r="BE41" s="75"/>
      <c r="BF41" s="75"/>
      <c r="BG41" s="75"/>
      <c r="BH41" s="75"/>
      <c r="BI41" s="75"/>
      <c r="BJ41" s="75"/>
      <c r="BK41" s="77" t="str">
        <f t="shared" si="67"/>
        <v>#REF!</v>
      </c>
      <c r="BL41" s="75"/>
      <c r="BM41" s="77" t="str">
        <f t="shared" si="28"/>
        <v>#REF!</v>
      </c>
      <c r="BN41" s="75"/>
      <c r="BO41" s="75"/>
      <c r="BP41" s="75"/>
      <c r="BQ41" s="75"/>
      <c r="BR41" s="75"/>
      <c r="BS41" s="77" t="str">
        <f t="shared" si="31"/>
        <v>#REF!</v>
      </c>
      <c r="BT41" s="75"/>
      <c r="BU41" s="75"/>
      <c r="BV41" s="75"/>
      <c r="BW41" s="75"/>
      <c r="BX41" s="75"/>
    </row>
    <row r="42">
      <c r="A42" s="76" t="str">
        <f t="shared" si="1"/>
        <v>#REF!</v>
      </c>
      <c r="B42" s="75"/>
      <c r="C42" s="75"/>
      <c r="D42" s="75"/>
      <c r="E42" s="75"/>
      <c r="F42" s="75"/>
      <c r="G42" s="75"/>
      <c r="H42" s="75"/>
      <c r="I42" s="75"/>
      <c r="J42" s="75"/>
      <c r="K42" s="75"/>
      <c r="L42" s="75"/>
      <c r="M42" s="75"/>
      <c r="N42" s="75"/>
      <c r="O42" s="75"/>
      <c r="P42" s="75"/>
      <c r="Q42" s="75"/>
      <c r="R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6" t="str">
        <f t="shared" si="23"/>
        <v>#REF!</v>
      </c>
      <c r="AZ42" s="75"/>
      <c r="BA42" s="76" t="str">
        <f t="shared" si="24"/>
        <v>#REF!</v>
      </c>
      <c r="BB42" s="76"/>
      <c r="BC42" s="76" t="str">
        <f t="shared" si="25"/>
        <v>#REF!</v>
      </c>
      <c r="BD42" s="75"/>
      <c r="BE42" s="75"/>
      <c r="BF42" s="75"/>
      <c r="BG42" s="75"/>
      <c r="BH42" s="75"/>
      <c r="BI42" s="75"/>
      <c r="BJ42" s="75"/>
      <c r="BK42" s="75"/>
      <c r="BL42" s="75"/>
      <c r="BM42" s="77" t="str">
        <f t="shared" si="28"/>
        <v>#REF!</v>
      </c>
      <c r="BN42" s="75"/>
      <c r="BO42" s="75"/>
      <c r="BP42" s="75"/>
      <c r="BQ42" s="75"/>
      <c r="BR42" s="75"/>
      <c r="BS42" s="77" t="str">
        <f t="shared" si="31"/>
        <v>#REF!</v>
      </c>
      <c r="BT42" s="75"/>
      <c r="BU42" s="75"/>
      <c r="BV42" s="75"/>
      <c r="BW42" s="75"/>
      <c r="BX42" s="75"/>
    </row>
    <row r="43">
      <c r="A43" s="76" t="str">
        <f t="shared" si="1"/>
        <v>#REF!</v>
      </c>
      <c r="B43" s="75"/>
      <c r="C43" s="75"/>
      <c r="D43" s="75"/>
      <c r="E43" s="75"/>
      <c r="F43" s="75"/>
      <c r="G43" s="75"/>
      <c r="H43" s="75"/>
      <c r="I43" s="75"/>
      <c r="J43" s="75"/>
      <c r="K43" s="75"/>
      <c r="L43" s="75"/>
      <c r="M43" s="75"/>
      <c r="N43" s="75"/>
      <c r="O43" s="75"/>
      <c r="P43" s="75"/>
      <c r="Q43" s="75"/>
      <c r="R43" s="75"/>
      <c r="X43" s="75"/>
      <c r="Y43" s="75"/>
      <c r="Z43" s="75"/>
      <c r="AA43" s="75"/>
      <c r="AB43" s="75"/>
      <c r="AC43" s="75"/>
      <c r="AD43" s="75"/>
      <c r="AE43" s="75"/>
      <c r="AF43" s="75"/>
      <c r="AG43" s="75"/>
      <c r="AH43" s="75"/>
      <c r="AI43" s="75"/>
      <c r="AJ43" s="75"/>
      <c r="AK43" s="75"/>
      <c r="AL43" s="75"/>
      <c r="AM43" s="75"/>
      <c r="AN43" s="75"/>
      <c r="AO43" s="75"/>
      <c r="AP43" s="75"/>
      <c r="AQ43" s="75"/>
      <c r="AR43" s="75"/>
      <c r="AS43" s="75"/>
      <c r="AT43" s="75"/>
      <c r="AU43" s="75"/>
      <c r="AV43" s="75"/>
      <c r="AW43" s="75"/>
      <c r="AX43" s="75"/>
      <c r="AY43" s="76" t="str">
        <f t="shared" si="23"/>
        <v>#REF!</v>
      </c>
      <c r="AZ43" s="75"/>
      <c r="BA43" s="76" t="str">
        <f t="shared" si="24"/>
        <v>#REF!</v>
      </c>
      <c r="BB43" s="75"/>
      <c r="BC43" s="76" t="str">
        <f t="shared" si="25"/>
        <v>#REF!</v>
      </c>
      <c r="BD43" s="75"/>
      <c r="BE43" s="75"/>
      <c r="BF43" s="75"/>
      <c r="BG43" s="75"/>
      <c r="BH43" s="75"/>
      <c r="BI43" s="75"/>
      <c r="BJ43" s="75"/>
      <c r="BK43" s="75"/>
      <c r="BL43" s="75"/>
      <c r="BM43" s="77" t="str">
        <f t="shared" si="28"/>
        <v>#REF!</v>
      </c>
      <c r="BN43" s="75"/>
      <c r="BO43" s="75"/>
      <c r="BP43" s="75"/>
      <c r="BQ43" s="75"/>
      <c r="BR43" s="75"/>
      <c r="BS43" s="77" t="str">
        <f t="shared" si="31"/>
        <v>#REF!</v>
      </c>
      <c r="BT43" s="75"/>
      <c r="BU43" s="75"/>
      <c r="BV43" s="75"/>
      <c r="BW43" s="75"/>
      <c r="BX43" s="75"/>
    </row>
    <row r="44">
      <c r="A44" s="76" t="str">
        <f t="shared" si="1"/>
        <v>#REF!</v>
      </c>
      <c r="B44" s="75"/>
      <c r="C44" s="75"/>
      <c r="D44" s="75"/>
      <c r="E44" s="75"/>
      <c r="F44" s="75"/>
      <c r="G44" s="75"/>
      <c r="H44" s="75"/>
      <c r="I44" s="75"/>
      <c r="J44" s="75"/>
      <c r="K44" s="75"/>
      <c r="L44" s="75"/>
      <c r="M44" s="75"/>
      <c r="N44" s="75"/>
      <c r="O44" s="75"/>
      <c r="P44" s="75"/>
      <c r="Q44" s="75"/>
      <c r="R44" s="75"/>
      <c r="X44" s="75"/>
      <c r="Y44" s="75"/>
      <c r="Z44" s="75"/>
      <c r="AA44" s="75"/>
      <c r="AB44" s="75"/>
      <c r="AC44" s="75"/>
      <c r="AD44" s="75"/>
      <c r="AE44" s="75"/>
      <c r="AF44" s="75"/>
      <c r="AG44" s="75"/>
      <c r="AH44" s="75"/>
      <c r="AI44" s="75"/>
      <c r="AJ44" s="75"/>
      <c r="AK44" s="75"/>
      <c r="AL44" s="75"/>
      <c r="AM44" s="75"/>
      <c r="AN44" s="75"/>
      <c r="AO44" s="75"/>
      <c r="AP44" s="75"/>
      <c r="AQ44" s="75"/>
      <c r="AR44" s="75"/>
      <c r="AS44" s="75"/>
      <c r="AT44" s="75"/>
      <c r="AU44" s="75"/>
      <c r="AV44" s="75"/>
      <c r="AW44" s="75"/>
      <c r="AX44" s="75"/>
      <c r="AY44" s="76" t="str">
        <f t="shared" si="23"/>
        <v>#REF!</v>
      </c>
      <c r="AZ44" s="75"/>
      <c r="BA44" s="76" t="str">
        <f t="shared" si="24"/>
        <v>#REF!</v>
      </c>
      <c r="BB44" s="75"/>
      <c r="BC44" s="76" t="str">
        <f t="shared" si="25"/>
        <v>#REF!</v>
      </c>
      <c r="BD44" s="75"/>
      <c r="BE44" s="75"/>
      <c r="BF44" s="75"/>
      <c r="BG44" s="75"/>
      <c r="BH44" s="75"/>
      <c r="BI44" s="75"/>
      <c r="BJ44" s="75"/>
      <c r="BK44" s="75"/>
      <c r="BL44" s="75"/>
      <c r="BM44" s="77" t="str">
        <f t="shared" si="28"/>
        <v>#REF!</v>
      </c>
      <c r="BN44" s="75"/>
      <c r="BO44" s="75"/>
      <c r="BP44" s="75"/>
      <c r="BQ44" s="75"/>
      <c r="BR44" s="75"/>
      <c r="BS44" s="77" t="str">
        <f t="shared" si="31"/>
        <v>#REF!</v>
      </c>
      <c r="BT44" s="75"/>
      <c r="BU44" s="75"/>
      <c r="BV44" s="75"/>
      <c r="BW44" s="75"/>
      <c r="BX44" s="75"/>
    </row>
    <row r="45">
      <c r="A45" s="76" t="str">
        <f t="shared" si="1"/>
        <v>#REF!</v>
      </c>
      <c r="B45" s="75"/>
      <c r="C45" s="75"/>
      <c r="D45" s="75"/>
      <c r="E45" s="75"/>
      <c r="F45" s="75"/>
      <c r="G45" s="75"/>
      <c r="H45" s="75"/>
      <c r="I45" s="75"/>
      <c r="J45" s="75"/>
      <c r="K45" s="75"/>
      <c r="L45" s="75"/>
      <c r="M45" s="75"/>
      <c r="N45" s="75"/>
      <c r="O45" s="75"/>
      <c r="P45" s="75"/>
      <c r="Q45" s="75"/>
      <c r="R45" s="75"/>
      <c r="X45" s="75"/>
      <c r="Y45" s="75"/>
      <c r="Z45" s="75"/>
      <c r="AA45" s="75"/>
      <c r="AB45" s="75"/>
      <c r="AC45" s="75"/>
      <c r="AD45" s="75"/>
      <c r="AE45" s="75"/>
      <c r="AF45" s="75"/>
      <c r="AG45" s="75"/>
      <c r="AH45" s="75"/>
      <c r="AI45" s="75"/>
      <c r="AJ45" s="75"/>
      <c r="AK45" s="75"/>
      <c r="AL45" s="75"/>
      <c r="AM45" s="75"/>
      <c r="AN45" s="75"/>
      <c r="AO45" s="75"/>
      <c r="AP45" s="75"/>
      <c r="AQ45" s="75"/>
      <c r="AR45" s="75"/>
      <c r="AS45" s="75"/>
      <c r="AT45" s="75"/>
      <c r="AU45" s="75"/>
      <c r="AV45" s="75"/>
      <c r="AW45" s="75"/>
      <c r="AX45" s="75"/>
      <c r="AY45" s="76" t="str">
        <f t="shared" si="23"/>
        <v>#REF!</v>
      </c>
      <c r="AZ45" s="75"/>
      <c r="BA45" s="76" t="str">
        <f t="shared" si="24"/>
        <v>#REF!</v>
      </c>
      <c r="BB45" s="75"/>
      <c r="BC45" s="76" t="str">
        <f t="shared" si="25"/>
        <v>#REF!</v>
      </c>
      <c r="BD45" s="75"/>
      <c r="BE45" s="75"/>
      <c r="BF45" s="75"/>
      <c r="BG45" s="75"/>
      <c r="BH45" s="75"/>
      <c r="BI45" s="75"/>
      <c r="BJ45" s="75"/>
      <c r="BK45" s="75"/>
      <c r="BL45" s="75"/>
      <c r="BM45" s="77" t="str">
        <f t="shared" si="28"/>
        <v>#REF!</v>
      </c>
      <c r="BN45" s="75"/>
      <c r="BO45" s="75"/>
      <c r="BP45" s="75"/>
      <c r="BQ45" s="75"/>
      <c r="BR45" s="75"/>
      <c r="BS45" s="77" t="str">
        <f t="shared" si="31"/>
        <v>#REF!</v>
      </c>
      <c r="BT45" s="75"/>
      <c r="BU45" s="75"/>
      <c r="BV45" s="75"/>
      <c r="BW45" s="75"/>
      <c r="BX45" s="75"/>
    </row>
    <row r="46">
      <c r="A46" s="76" t="str">
        <f t="shared" si="1"/>
        <v>#REF!</v>
      </c>
      <c r="B46" s="75"/>
      <c r="C46" s="75"/>
      <c r="D46" s="75"/>
      <c r="E46" s="75"/>
      <c r="F46" s="75"/>
      <c r="G46" s="75"/>
      <c r="H46" s="75"/>
      <c r="I46" s="75"/>
      <c r="J46" s="75"/>
      <c r="K46" s="75"/>
      <c r="L46" s="75"/>
      <c r="M46" s="75"/>
      <c r="N46" s="75"/>
      <c r="O46" s="75"/>
      <c r="P46" s="75"/>
      <c r="Q46" s="75"/>
      <c r="R46" s="75"/>
      <c r="X46" s="75"/>
      <c r="Y46" s="75"/>
      <c r="Z46" s="75"/>
      <c r="AA46" s="75"/>
      <c r="AB46" s="75"/>
      <c r="AC46" s="75"/>
      <c r="AD46" s="75"/>
      <c r="AE46" s="75"/>
      <c r="AF46" s="75"/>
      <c r="AG46" s="75"/>
      <c r="AH46" s="75"/>
      <c r="AI46" s="75"/>
      <c r="AJ46" s="75"/>
      <c r="AK46" s="75"/>
      <c r="AL46" s="75"/>
      <c r="AM46" s="75"/>
      <c r="AN46" s="75"/>
      <c r="AO46" s="75"/>
      <c r="AP46" s="75"/>
      <c r="AQ46" s="75"/>
      <c r="AR46" s="75"/>
      <c r="AS46" s="75"/>
      <c r="AT46" s="75"/>
      <c r="AU46" s="75"/>
      <c r="AV46" s="75"/>
      <c r="AW46" s="75"/>
      <c r="AX46" s="75"/>
      <c r="AY46" s="76" t="str">
        <f t="shared" si="23"/>
        <v>#REF!</v>
      </c>
      <c r="AZ46" s="75"/>
      <c r="BA46" s="76" t="str">
        <f t="shared" si="24"/>
        <v>#REF!</v>
      </c>
      <c r="BB46" s="75"/>
      <c r="BC46" s="76" t="str">
        <f t="shared" si="25"/>
        <v>#REF!</v>
      </c>
      <c r="BD46" s="75"/>
      <c r="BE46" s="75"/>
      <c r="BF46" s="75"/>
      <c r="BG46" s="75"/>
      <c r="BH46" s="75"/>
      <c r="BI46" s="75"/>
      <c r="BJ46" s="75"/>
      <c r="BK46" s="75"/>
      <c r="BL46" s="75"/>
      <c r="BM46" s="77" t="str">
        <f t="shared" si="28"/>
        <v>#REF!</v>
      </c>
      <c r="BN46" s="75"/>
      <c r="BO46" s="75"/>
      <c r="BP46" s="75"/>
      <c r="BQ46" s="75"/>
      <c r="BR46" s="75"/>
      <c r="BS46" s="77" t="str">
        <f t="shared" si="31"/>
        <v>#REF!</v>
      </c>
      <c r="BT46" s="75"/>
      <c r="BU46" s="75"/>
      <c r="BV46" s="75"/>
      <c r="BW46" s="75"/>
      <c r="BX46" s="75"/>
    </row>
    <row r="47">
      <c r="A47" s="76" t="str">
        <f t="shared" si="1"/>
        <v>#REF!</v>
      </c>
      <c r="B47" s="75"/>
      <c r="C47" s="75"/>
      <c r="D47" s="75"/>
      <c r="E47" s="75"/>
      <c r="F47" s="75"/>
      <c r="G47" s="75"/>
      <c r="H47" s="75"/>
      <c r="I47" s="75"/>
      <c r="J47" s="75"/>
      <c r="K47" s="75"/>
      <c r="L47" s="75"/>
      <c r="M47" s="75"/>
      <c r="N47" s="75"/>
      <c r="O47" s="75"/>
      <c r="P47" s="75"/>
      <c r="Q47" s="75"/>
      <c r="R47" s="75"/>
      <c r="X47" s="75"/>
      <c r="Y47" s="75"/>
      <c r="Z47" s="75"/>
      <c r="AA47" s="75"/>
      <c r="AB47" s="75"/>
      <c r="AC47" s="75"/>
      <c r="AD47" s="75"/>
      <c r="AE47" s="75"/>
      <c r="AF47" s="75"/>
      <c r="AG47" s="75"/>
      <c r="AH47" s="75"/>
      <c r="AI47" s="75"/>
      <c r="AJ47" s="75"/>
      <c r="AK47" s="75"/>
      <c r="AL47" s="75"/>
      <c r="AM47" s="75"/>
      <c r="AN47" s="75"/>
      <c r="AO47" s="75"/>
      <c r="AP47" s="75"/>
      <c r="AQ47" s="75"/>
      <c r="AR47" s="75"/>
      <c r="AS47" s="75"/>
      <c r="AT47" s="75"/>
      <c r="AU47" s="75"/>
      <c r="AV47" s="75"/>
      <c r="AW47" s="75"/>
      <c r="AX47" s="75"/>
      <c r="AY47" s="76" t="str">
        <f t="shared" si="23"/>
        <v>#REF!</v>
      </c>
      <c r="AZ47" s="75"/>
      <c r="BA47" s="76" t="str">
        <f t="shared" si="24"/>
        <v>#REF!</v>
      </c>
      <c r="BB47" s="75"/>
      <c r="BC47" s="76" t="str">
        <f t="shared" si="25"/>
        <v>#REF!</v>
      </c>
      <c r="BD47" s="76"/>
      <c r="BE47" s="75"/>
      <c r="BF47" s="75"/>
      <c r="BG47" s="75"/>
      <c r="BH47" s="75"/>
      <c r="BI47" s="75"/>
      <c r="BJ47" s="75"/>
      <c r="BK47" s="75"/>
      <c r="BL47" s="75"/>
      <c r="BM47" s="77" t="str">
        <f t="shared" si="28"/>
        <v>#REF!</v>
      </c>
      <c r="BN47" s="75"/>
      <c r="BO47" s="75"/>
      <c r="BP47" s="75"/>
      <c r="BQ47" s="75"/>
      <c r="BR47" s="75"/>
      <c r="BS47" s="77" t="str">
        <f t="shared" si="31"/>
        <v>#REF!</v>
      </c>
      <c r="BT47" s="75"/>
      <c r="BU47" s="75"/>
      <c r="BV47" s="75"/>
      <c r="BW47" s="75"/>
      <c r="BX47" s="75"/>
    </row>
    <row r="48">
      <c r="A48" s="76" t="str">
        <f t="shared" si="1"/>
        <v>#REF!</v>
      </c>
      <c r="B48" s="75"/>
      <c r="C48" s="75"/>
      <c r="D48" s="75"/>
      <c r="E48" s="75"/>
      <c r="F48" s="75"/>
      <c r="G48" s="75"/>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75"/>
      <c r="AI48" s="75"/>
      <c r="AJ48" s="75"/>
      <c r="AK48" s="75"/>
      <c r="AL48" s="75"/>
      <c r="AM48" s="75"/>
      <c r="AN48" s="75"/>
      <c r="AO48" s="75"/>
      <c r="AP48" s="75"/>
      <c r="AQ48" s="75"/>
      <c r="AR48" s="75"/>
      <c r="AS48" s="75"/>
      <c r="AT48" s="75"/>
      <c r="AU48" s="75"/>
      <c r="AV48" s="75"/>
      <c r="AW48" s="75"/>
      <c r="AX48" s="75"/>
      <c r="AY48" s="76" t="str">
        <f t="shared" si="23"/>
        <v>#REF!</v>
      </c>
      <c r="AZ48" s="75"/>
      <c r="BA48" s="76" t="str">
        <f t="shared" si="24"/>
        <v>#REF!</v>
      </c>
      <c r="BB48" s="75"/>
      <c r="BC48" s="76" t="str">
        <f t="shared" si="25"/>
        <v>#REF!</v>
      </c>
      <c r="BD48" s="75"/>
      <c r="BE48" s="75"/>
      <c r="BF48" s="75"/>
      <c r="BG48" s="75"/>
      <c r="BH48" s="75"/>
      <c r="BI48" s="75"/>
      <c r="BJ48" s="75"/>
      <c r="BK48" s="75"/>
      <c r="BL48" s="75"/>
      <c r="BM48" s="77" t="str">
        <f t="shared" si="28"/>
        <v>#REF!</v>
      </c>
      <c r="BN48" s="75"/>
      <c r="BO48" s="75"/>
      <c r="BP48" s="75"/>
      <c r="BQ48" s="75"/>
      <c r="BR48" s="75"/>
      <c r="BS48" s="77" t="str">
        <f t="shared" ref="BS48:BS52" si="69">CONCATENATE('Term Reference Guide (in-progress)'!B3," [",'Term Reference Guide (in-progress)'!C3,"]")</f>
        <v>#REF!</v>
      </c>
      <c r="BT48" s="75"/>
      <c r="BU48" s="75"/>
      <c r="BV48" s="75"/>
      <c r="BW48" s="75"/>
      <c r="BX48" s="75"/>
    </row>
    <row r="49">
      <c r="A49" s="76" t="str">
        <f t="shared" si="1"/>
        <v>#REF!</v>
      </c>
      <c r="B49" s="75"/>
      <c r="C49" s="75"/>
      <c r="D49" s="75"/>
      <c r="E49" s="75"/>
      <c r="F49" s="75"/>
      <c r="G49" s="75"/>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75"/>
      <c r="AI49" s="75"/>
      <c r="AJ49" s="75"/>
      <c r="AK49" s="75"/>
      <c r="AL49" s="75"/>
      <c r="AM49" s="75"/>
      <c r="AN49" s="75"/>
      <c r="AO49" s="75"/>
      <c r="AP49" s="75"/>
      <c r="AQ49" s="75"/>
      <c r="AR49" s="75"/>
      <c r="AS49" s="75"/>
      <c r="AT49" s="75"/>
      <c r="AU49" s="75"/>
      <c r="AV49" s="75"/>
      <c r="AW49" s="75"/>
      <c r="AX49" s="75"/>
      <c r="AY49" s="76" t="str">
        <f t="shared" si="23"/>
        <v>#REF!</v>
      </c>
      <c r="AZ49" s="75"/>
      <c r="BA49" s="76" t="str">
        <f t="shared" si="24"/>
        <v>#REF!</v>
      </c>
      <c r="BB49" s="75"/>
      <c r="BC49" s="76" t="str">
        <f t="shared" si="25"/>
        <v>#REF!</v>
      </c>
      <c r="BD49" s="75"/>
      <c r="BE49" s="75"/>
      <c r="BF49" s="75"/>
      <c r="BG49" s="75"/>
      <c r="BH49" s="75"/>
      <c r="BI49" s="75"/>
      <c r="BJ49" s="75"/>
      <c r="BK49" s="75"/>
      <c r="BL49" s="75"/>
      <c r="BM49" s="77" t="str">
        <f t="shared" si="28"/>
        <v>#REF!</v>
      </c>
      <c r="BN49" s="75"/>
      <c r="BO49" s="75"/>
      <c r="BP49" s="75"/>
      <c r="BQ49" s="75"/>
      <c r="BR49" s="75"/>
      <c r="BS49" s="77" t="str">
        <f t="shared" si="69"/>
        <v>#REF!</v>
      </c>
      <c r="BT49" s="75"/>
      <c r="BU49" s="75"/>
      <c r="BV49" s="75"/>
      <c r="BW49" s="75"/>
      <c r="BX49" s="75"/>
    </row>
    <row r="50">
      <c r="A50" s="76" t="str">
        <f t="shared" si="1"/>
        <v>#REF!</v>
      </c>
      <c r="B50" s="75"/>
      <c r="C50" s="75"/>
      <c r="D50" s="75"/>
      <c r="E50" s="75"/>
      <c r="F50" s="75"/>
      <c r="G50" s="75"/>
      <c r="H50" s="75"/>
      <c r="I50" s="75"/>
      <c r="J50" s="75"/>
      <c r="K50" s="75"/>
      <c r="L50" s="75"/>
      <c r="M50" s="75"/>
      <c r="N50" s="75"/>
      <c r="O50" s="75"/>
      <c r="P50" s="75"/>
      <c r="Q50" s="75"/>
      <c r="R50" s="75"/>
      <c r="S50" s="75"/>
      <c r="T50" s="75"/>
      <c r="U50" s="75"/>
      <c r="V50" s="75"/>
      <c r="W50" s="75"/>
      <c r="X50" s="75"/>
      <c r="Y50" s="75"/>
      <c r="Z50" s="75"/>
      <c r="AA50" s="75"/>
      <c r="AB50" s="75"/>
      <c r="AC50" s="75"/>
      <c r="AD50" s="75"/>
      <c r="AE50" s="75"/>
      <c r="AF50" s="75"/>
      <c r="AG50" s="75"/>
      <c r="AH50" s="75"/>
      <c r="AI50" s="75"/>
      <c r="AJ50" s="75"/>
      <c r="AK50" s="75"/>
      <c r="AL50" s="75"/>
      <c r="AM50" s="75"/>
      <c r="AN50" s="75"/>
      <c r="AO50" s="75"/>
      <c r="AP50" s="75"/>
      <c r="AQ50" s="75"/>
      <c r="AR50" s="75"/>
      <c r="AS50" s="75"/>
      <c r="AT50" s="75"/>
      <c r="AU50" s="75"/>
      <c r="AV50" s="75"/>
      <c r="AW50" s="75"/>
      <c r="AX50" s="75"/>
      <c r="AY50" s="76" t="str">
        <f t="shared" si="23"/>
        <v>#REF!</v>
      </c>
      <c r="AZ50" s="75"/>
      <c r="BA50" s="76" t="str">
        <f t="shared" si="24"/>
        <v>#REF!</v>
      </c>
      <c r="BB50" s="75"/>
      <c r="BC50" s="76" t="str">
        <f t="shared" si="25"/>
        <v>#REF!</v>
      </c>
      <c r="BD50" s="83"/>
      <c r="BE50" s="75"/>
      <c r="BF50" s="75"/>
      <c r="BG50" s="75"/>
      <c r="BH50" s="75"/>
      <c r="BI50" s="75"/>
      <c r="BJ50" s="75"/>
      <c r="BK50" s="75"/>
      <c r="BL50" s="75"/>
      <c r="BM50" s="77" t="str">
        <f t="shared" si="28"/>
        <v>#REF!</v>
      </c>
      <c r="BN50" s="75"/>
      <c r="BO50" s="75"/>
      <c r="BP50" s="75"/>
      <c r="BQ50" s="75"/>
      <c r="BR50" s="75"/>
      <c r="BS50" s="77" t="str">
        <f t="shared" si="69"/>
        <v>#REF!</v>
      </c>
      <c r="BT50" s="75"/>
      <c r="BU50" s="75"/>
      <c r="BV50" s="75"/>
      <c r="BW50" s="75"/>
      <c r="BX50" s="75"/>
    </row>
    <row r="51">
      <c r="A51" s="76" t="str">
        <f t="shared" si="1"/>
        <v>#REF!</v>
      </c>
      <c r="B51" s="75"/>
      <c r="C51" s="75"/>
      <c r="D51" s="75"/>
      <c r="E51" s="75"/>
      <c r="F51" s="75"/>
      <c r="G51" s="75"/>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75"/>
      <c r="AN51" s="75"/>
      <c r="AO51" s="75"/>
      <c r="AP51" s="75"/>
      <c r="AQ51" s="75"/>
      <c r="AR51" s="75"/>
      <c r="AS51" s="75"/>
      <c r="AT51" s="75"/>
      <c r="AU51" s="75"/>
      <c r="AV51" s="75"/>
      <c r="AW51" s="75"/>
      <c r="AX51" s="75"/>
      <c r="AY51" s="76" t="str">
        <f t="shared" si="23"/>
        <v>#REF!</v>
      </c>
      <c r="AZ51" s="75"/>
      <c r="BA51" s="76" t="str">
        <f t="shared" si="24"/>
        <v>#REF!</v>
      </c>
      <c r="BB51" s="75"/>
      <c r="BC51" s="76" t="str">
        <f t="shared" si="25"/>
        <v>#REF!</v>
      </c>
      <c r="BD51" s="84"/>
      <c r="BE51" s="75"/>
      <c r="BF51" s="75"/>
      <c r="BG51" s="75"/>
      <c r="BH51" s="75"/>
      <c r="BI51" s="75"/>
      <c r="BJ51" s="75"/>
      <c r="BK51" s="75"/>
      <c r="BL51" s="75"/>
      <c r="BM51" s="77" t="str">
        <f t="shared" si="28"/>
        <v>#REF!</v>
      </c>
      <c r="BN51" s="75"/>
      <c r="BO51" s="75"/>
      <c r="BP51" s="75"/>
      <c r="BQ51" s="75"/>
      <c r="BR51" s="75"/>
      <c r="BS51" s="77" t="str">
        <f t="shared" si="69"/>
        <v>#REF!</v>
      </c>
      <c r="BT51" s="75"/>
      <c r="BU51" s="75"/>
      <c r="BV51" s="75"/>
      <c r="BW51" s="75"/>
      <c r="BX51" s="75"/>
    </row>
    <row r="52">
      <c r="A52" s="76" t="str">
        <f t="shared" si="1"/>
        <v>#REF!</v>
      </c>
      <c r="B52" s="75"/>
      <c r="C52" s="75"/>
      <c r="D52" s="75"/>
      <c r="E52" s="75"/>
      <c r="F52" s="75"/>
      <c r="G52" s="75"/>
      <c r="H52" s="75"/>
      <c r="I52" s="75"/>
      <c r="J52" s="75"/>
      <c r="K52" s="75"/>
      <c r="L52" s="75"/>
      <c r="M52" s="75"/>
      <c r="N52" s="75"/>
      <c r="O52" s="75"/>
      <c r="P52" s="75"/>
      <c r="Q52" s="75"/>
      <c r="R52" s="75"/>
      <c r="S52" s="75"/>
      <c r="T52" s="75"/>
      <c r="U52" s="75"/>
      <c r="V52" s="75"/>
      <c r="W52" s="75"/>
      <c r="X52" s="75"/>
      <c r="Y52" s="75"/>
      <c r="Z52" s="75"/>
      <c r="AA52" s="75"/>
      <c r="AB52" s="75"/>
      <c r="AC52" s="75"/>
      <c r="AD52" s="75"/>
      <c r="AE52" s="75"/>
      <c r="AF52" s="75"/>
      <c r="AG52" s="75"/>
      <c r="AH52" s="75"/>
      <c r="AI52" s="75"/>
      <c r="AJ52" s="75"/>
      <c r="AK52" s="75"/>
      <c r="AL52" s="75"/>
      <c r="AM52" s="75"/>
      <c r="AN52" s="75"/>
      <c r="AO52" s="75"/>
      <c r="AP52" s="75"/>
      <c r="AQ52" s="75"/>
      <c r="AR52" s="75"/>
      <c r="AS52" s="75"/>
      <c r="AT52" s="75"/>
      <c r="AU52" s="75"/>
      <c r="AV52" s="75"/>
      <c r="AW52" s="75"/>
      <c r="AX52" s="75"/>
      <c r="AY52" s="76" t="str">
        <f t="shared" si="23"/>
        <v>#REF!</v>
      </c>
      <c r="AZ52" s="75"/>
      <c r="BA52" s="76" t="str">
        <f t="shared" si="24"/>
        <v>#REF!</v>
      </c>
      <c r="BB52" s="75"/>
      <c r="BC52" s="76" t="str">
        <f t="shared" si="25"/>
        <v>#REF!</v>
      </c>
      <c r="BD52" s="84"/>
      <c r="BE52" s="75"/>
      <c r="BF52" s="75"/>
      <c r="BG52" s="75"/>
      <c r="BH52" s="75"/>
      <c r="BI52" s="75"/>
      <c r="BJ52" s="75"/>
      <c r="BK52" s="75"/>
      <c r="BL52" s="75"/>
      <c r="BM52" s="77" t="str">
        <f t="shared" si="28"/>
        <v>#REF!</v>
      </c>
      <c r="BN52" s="75"/>
      <c r="BO52" s="75"/>
      <c r="BP52" s="75"/>
      <c r="BQ52" s="75"/>
      <c r="BR52" s="75"/>
      <c r="BS52" s="77" t="str">
        <f t="shared" si="69"/>
        <v>#REF!</v>
      </c>
      <c r="BT52" s="75"/>
      <c r="BU52" s="75"/>
      <c r="BV52" s="75"/>
      <c r="BW52" s="75"/>
      <c r="BX52" s="75"/>
    </row>
    <row r="53">
      <c r="A53" s="76" t="str">
        <f t="shared" si="1"/>
        <v>#REF!</v>
      </c>
      <c r="B53" s="75"/>
      <c r="C53" s="75"/>
      <c r="D53" s="75"/>
      <c r="E53" s="75"/>
      <c r="F53" s="75"/>
      <c r="G53" s="75"/>
      <c r="H53" s="75"/>
      <c r="I53" s="75"/>
      <c r="J53" s="75"/>
      <c r="K53" s="75"/>
      <c r="L53" s="75"/>
      <c r="M53" s="75"/>
      <c r="N53" s="75"/>
      <c r="O53" s="75"/>
      <c r="P53" s="75"/>
      <c r="Q53" s="75"/>
      <c r="R53" s="75"/>
      <c r="S53" s="75"/>
      <c r="T53" s="75"/>
      <c r="U53" s="75"/>
      <c r="V53" s="75"/>
      <c r="W53" s="75"/>
      <c r="X53" s="75"/>
      <c r="Y53" s="75"/>
      <c r="Z53" s="75"/>
      <c r="AA53" s="75"/>
      <c r="AB53" s="75"/>
      <c r="AC53" s="75"/>
      <c r="AD53" s="75"/>
      <c r="AE53" s="75"/>
      <c r="AF53" s="75"/>
      <c r="AG53" s="75"/>
      <c r="AH53" s="75"/>
      <c r="AI53" s="75"/>
      <c r="AJ53" s="75"/>
      <c r="AK53" s="75"/>
      <c r="AL53" s="75"/>
      <c r="AM53" s="75"/>
      <c r="AN53" s="75"/>
      <c r="AO53" s="75"/>
      <c r="AP53" s="75"/>
      <c r="AQ53" s="75"/>
      <c r="AR53" s="75"/>
      <c r="AS53" s="75"/>
      <c r="AT53" s="75"/>
      <c r="AU53" s="75"/>
      <c r="AV53" s="75"/>
      <c r="AW53" s="75"/>
      <c r="AX53" s="75"/>
      <c r="AY53" s="76" t="str">
        <f t="shared" si="23"/>
        <v>#REF!</v>
      </c>
      <c r="AZ53" s="75"/>
      <c r="BA53" s="76" t="str">
        <f t="shared" si="24"/>
        <v>#REF!</v>
      </c>
      <c r="BB53" s="75"/>
      <c r="BC53" s="76" t="str">
        <f t="shared" si="25"/>
        <v>#REF!</v>
      </c>
      <c r="BD53" s="84"/>
      <c r="BE53" s="75"/>
      <c r="BF53" s="75"/>
      <c r="BG53" s="75"/>
      <c r="BH53" s="75"/>
      <c r="BI53" s="75"/>
      <c r="BJ53" s="75"/>
      <c r="BK53" s="75"/>
      <c r="BL53" s="75"/>
      <c r="BM53" s="77" t="str">
        <f t="shared" si="28"/>
        <v>#REF!</v>
      </c>
      <c r="BN53" s="75"/>
      <c r="BO53" s="75"/>
      <c r="BP53" s="75"/>
      <c r="BQ53" s="75"/>
      <c r="BR53" s="75"/>
      <c r="BV53" s="75"/>
      <c r="BW53" s="75"/>
      <c r="BX53" s="75"/>
    </row>
    <row r="54">
      <c r="A54" s="76" t="str">
        <f t="shared" si="1"/>
        <v>#REF!</v>
      </c>
      <c r="B54" s="75"/>
      <c r="C54" s="75"/>
      <c r="D54" s="75"/>
      <c r="E54" s="75"/>
      <c r="F54" s="75"/>
      <c r="G54" s="75"/>
      <c r="H54" s="75"/>
      <c r="I54" s="75"/>
      <c r="J54" s="75"/>
      <c r="K54" s="75"/>
      <c r="L54" s="75"/>
      <c r="M54" s="75"/>
      <c r="N54" s="75"/>
      <c r="O54" s="75"/>
      <c r="P54" s="75"/>
      <c r="Q54" s="75"/>
      <c r="R54" s="75"/>
      <c r="S54" s="75"/>
      <c r="T54" s="75"/>
      <c r="U54" s="75"/>
      <c r="V54" s="75"/>
      <c r="W54" s="75"/>
      <c r="X54" s="75"/>
      <c r="Y54" s="75"/>
      <c r="Z54" s="75"/>
      <c r="AA54" s="75"/>
      <c r="AB54" s="75"/>
      <c r="AC54" s="75"/>
      <c r="AD54" s="75"/>
      <c r="AE54" s="75"/>
      <c r="AF54" s="75"/>
      <c r="AG54" s="75"/>
      <c r="AH54" s="75"/>
      <c r="AI54" s="75"/>
      <c r="AJ54" s="75"/>
      <c r="AK54" s="75"/>
      <c r="AL54" s="75"/>
      <c r="AM54" s="75"/>
      <c r="AN54" s="75"/>
      <c r="AO54" s="75"/>
      <c r="AP54" s="75"/>
      <c r="AQ54" s="75"/>
      <c r="AR54" s="75"/>
      <c r="AS54" s="75"/>
      <c r="AT54" s="75"/>
      <c r="AU54" s="75"/>
      <c r="AV54" s="75"/>
      <c r="AW54" s="75"/>
      <c r="AX54" s="75"/>
      <c r="AY54" s="76" t="str">
        <f t="shared" si="23"/>
        <v>#REF!</v>
      </c>
      <c r="AZ54" s="75"/>
      <c r="BA54" s="76" t="str">
        <f t="shared" si="24"/>
        <v>#REF!</v>
      </c>
      <c r="BB54" s="75"/>
      <c r="BC54" s="76" t="str">
        <f t="shared" si="25"/>
        <v>#REF!</v>
      </c>
      <c r="BD54" s="84"/>
      <c r="BE54" s="75"/>
      <c r="BF54" s="75"/>
      <c r="BG54" s="75"/>
      <c r="BH54" s="75"/>
      <c r="BI54" s="75"/>
      <c r="BJ54" s="75"/>
      <c r="BK54" s="75"/>
      <c r="BL54" s="75"/>
      <c r="BM54" s="77" t="str">
        <f t="shared" si="28"/>
        <v>#REF!</v>
      </c>
      <c r="BN54" s="75"/>
      <c r="BO54" s="75"/>
      <c r="BP54" s="75"/>
      <c r="BQ54" s="75"/>
      <c r="BR54" s="75"/>
      <c r="BV54" s="75"/>
      <c r="BW54" s="75"/>
      <c r="BX54" s="75"/>
    </row>
    <row r="55">
      <c r="A55" s="76" t="str">
        <f t="shared" si="1"/>
        <v>#REF!</v>
      </c>
      <c r="B55" s="75"/>
      <c r="C55" s="75"/>
      <c r="D55" s="75"/>
      <c r="E55" s="75"/>
      <c r="F55" s="75"/>
      <c r="G55" s="75"/>
      <c r="H55" s="75"/>
      <c r="I55" s="75"/>
      <c r="J55" s="75"/>
      <c r="K55" s="75"/>
      <c r="L55" s="75"/>
      <c r="M55" s="75"/>
      <c r="N55" s="75"/>
      <c r="O55" s="75"/>
      <c r="P55" s="75"/>
      <c r="Q55" s="75"/>
      <c r="R55" s="75"/>
      <c r="S55" s="75"/>
      <c r="T55" s="75"/>
      <c r="U55" s="75"/>
      <c r="V55" s="75"/>
      <c r="W55" s="75"/>
      <c r="X55" s="75"/>
      <c r="Y55" s="75"/>
      <c r="Z55" s="75"/>
      <c r="AA55" s="75"/>
      <c r="AB55" s="75"/>
      <c r="AC55" s="75"/>
      <c r="AD55" s="75"/>
      <c r="AE55" s="75"/>
      <c r="AF55" s="75"/>
      <c r="AG55" s="75"/>
      <c r="AH55" s="75"/>
      <c r="AI55" s="75"/>
      <c r="AJ55" s="75"/>
      <c r="AK55" s="75"/>
      <c r="AL55" s="75"/>
      <c r="AM55" s="75"/>
      <c r="AN55" s="75"/>
      <c r="AO55" s="75"/>
      <c r="AP55" s="75"/>
      <c r="AQ55" s="75"/>
      <c r="AR55" s="75"/>
      <c r="AS55" s="75"/>
      <c r="AT55" s="75"/>
      <c r="AU55" s="75"/>
      <c r="AV55" s="75"/>
      <c r="AW55" s="75"/>
      <c r="AX55" s="75"/>
      <c r="AY55" s="76" t="str">
        <f t="shared" si="23"/>
        <v>#REF!</v>
      </c>
      <c r="AZ55" s="75"/>
      <c r="BA55" s="76" t="str">
        <f t="shared" si="24"/>
        <v>#REF!</v>
      </c>
      <c r="BB55" s="75"/>
      <c r="BC55" s="76" t="str">
        <f t="shared" si="25"/>
        <v>#REF!</v>
      </c>
      <c r="BD55" s="83"/>
      <c r="BE55" s="75"/>
      <c r="BF55" s="75"/>
      <c r="BG55" s="75"/>
      <c r="BH55" s="75"/>
      <c r="BI55" s="75"/>
      <c r="BJ55" s="75"/>
      <c r="BK55" s="75"/>
      <c r="BL55" s="75"/>
      <c r="BM55" s="77" t="str">
        <f t="shared" si="28"/>
        <v>#REF!</v>
      </c>
      <c r="BN55" s="75"/>
      <c r="BO55" s="75"/>
      <c r="BP55" s="75"/>
      <c r="BQ55" s="75"/>
      <c r="BR55" s="75"/>
      <c r="BV55" s="75"/>
      <c r="BW55" s="75"/>
      <c r="BX55" s="75"/>
    </row>
    <row r="56">
      <c r="A56" s="76" t="str">
        <f t="shared" si="1"/>
        <v>#REF!</v>
      </c>
      <c r="B56" s="75"/>
      <c r="C56" s="75"/>
      <c r="D56" s="75"/>
      <c r="E56" s="75"/>
      <c r="F56" s="75"/>
      <c r="G56" s="75"/>
      <c r="H56" s="75"/>
      <c r="I56" s="75"/>
      <c r="J56" s="75"/>
      <c r="K56" s="75"/>
      <c r="L56" s="75"/>
      <c r="M56" s="75"/>
      <c r="N56" s="75"/>
      <c r="O56" s="75"/>
      <c r="P56" s="75"/>
      <c r="Q56" s="75"/>
      <c r="R56" s="75"/>
      <c r="S56" s="75"/>
      <c r="T56" s="75"/>
      <c r="U56" s="75"/>
      <c r="V56" s="75"/>
      <c r="W56" s="75"/>
      <c r="X56" s="75"/>
      <c r="Y56" s="75"/>
      <c r="Z56" s="75"/>
      <c r="AA56" s="75"/>
      <c r="AB56" s="75"/>
      <c r="AC56" s="75"/>
      <c r="AD56" s="75"/>
      <c r="AE56" s="75"/>
      <c r="AF56" s="75"/>
      <c r="AG56" s="75"/>
      <c r="AH56" s="75"/>
      <c r="AI56" s="75"/>
      <c r="AJ56" s="75"/>
      <c r="AK56" s="75"/>
      <c r="AL56" s="75"/>
      <c r="AM56" s="75"/>
      <c r="AN56" s="75"/>
      <c r="AO56" s="75"/>
      <c r="AP56" s="75"/>
      <c r="AQ56" s="75"/>
      <c r="AR56" s="75"/>
      <c r="AS56" s="75"/>
      <c r="AT56" s="75"/>
      <c r="AU56" s="75"/>
      <c r="AV56" s="75"/>
      <c r="AW56" s="75"/>
      <c r="AX56" s="75"/>
      <c r="AY56" s="76" t="str">
        <f t="shared" si="23"/>
        <v>#REF!</v>
      </c>
      <c r="AZ56" s="75"/>
      <c r="BA56" s="76" t="str">
        <f t="shared" si="24"/>
        <v>#REF!</v>
      </c>
      <c r="BB56" s="75"/>
      <c r="BC56" s="76" t="str">
        <f t="shared" si="25"/>
        <v>#REF!</v>
      </c>
      <c r="BD56" s="84"/>
      <c r="BE56" s="75"/>
      <c r="BF56" s="75"/>
      <c r="BG56" s="75"/>
      <c r="BH56" s="75"/>
      <c r="BI56" s="75"/>
      <c r="BJ56" s="75"/>
      <c r="BK56" s="75"/>
      <c r="BL56" s="75"/>
      <c r="BM56" s="77" t="str">
        <f t="shared" si="28"/>
        <v>#REF!</v>
      </c>
      <c r="BN56" s="75"/>
      <c r="BO56" s="75"/>
      <c r="BP56" s="75"/>
      <c r="BQ56" s="75"/>
      <c r="BR56" s="75"/>
      <c r="BV56" s="75"/>
      <c r="BW56" s="75"/>
      <c r="BX56" s="75"/>
    </row>
    <row r="57">
      <c r="A57" s="76" t="str">
        <f t="shared" si="1"/>
        <v>#REF!</v>
      </c>
      <c r="B57" s="75"/>
      <c r="C57" s="75"/>
      <c r="D57" s="75"/>
      <c r="E57" s="75"/>
      <c r="F57" s="75"/>
      <c r="G57" s="75"/>
      <c r="H57" s="75"/>
      <c r="I57" s="75"/>
      <c r="J57" s="75"/>
      <c r="K57" s="75"/>
      <c r="L57" s="75"/>
      <c r="M57" s="75"/>
      <c r="N57" s="75"/>
      <c r="O57" s="75"/>
      <c r="P57" s="75"/>
      <c r="Q57" s="75"/>
      <c r="R57" s="75"/>
      <c r="S57" s="75"/>
      <c r="T57" s="75"/>
      <c r="U57" s="75"/>
      <c r="V57" s="75"/>
      <c r="W57" s="75"/>
      <c r="X57" s="75"/>
      <c r="Y57" s="75"/>
      <c r="Z57" s="75"/>
      <c r="AA57" s="75"/>
      <c r="AB57" s="75"/>
      <c r="AC57" s="75"/>
      <c r="AD57" s="75"/>
      <c r="AE57" s="75"/>
      <c r="AF57" s="75"/>
      <c r="AG57" s="75"/>
      <c r="AH57" s="75"/>
      <c r="AI57" s="75"/>
      <c r="AJ57" s="75"/>
      <c r="AK57" s="75"/>
      <c r="AL57" s="75"/>
      <c r="AM57" s="75"/>
      <c r="AN57" s="75"/>
      <c r="AO57" s="75"/>
      <c r="AP57" s="75"/>
      <c r="AQ57" s="75"/>
      <c r="AR57" s="75"/>
      <c r="AS57" s="75"/>
      <c r="AT57" s="75"/>
      <c r="AU57" s="75"/>
      <c r="AV57" s="75"/>
      <c r="AW57" s="75"/>
      <c r="AX57" s="75"/>
      <c r="AY57" s="76" t="str">
        <f t="shared" si="23"/>
        <v>#REF!</v>
      </c>
      <c r="AZ57" s="75"/>
      <c r="BA57" s="76" t="str">
        <f t="shared" si="24"/>
        <v>#REF!</v>
      </c>
      <c r="BB57" s="75"/>
      <c r="BC57" s="76" t="str">
        <f t="shared" si="25"/>
        <v>#REF!</v>
      </c>
      <c r="BD57" s="84"/>
      <c r="BE57" s="75"/>
      <c r="BF57" s="75"/>
      <c r="BG57" s="75"/>
      <c r="BH57" s="75"/>
      <c r="BI57" s="75"/>
      <c r="BJ57" s="75"/>
      <c r="BK57" s="75"/>
      <c r="BL57" s="75"/>
      <c r="BM57" s="77" t="str">
        <f t="shared" si="28"/>
        <v>#REF!</v>
      </c>
      <c r="BN57" s="75"/>
      <c r="BO57" s="75"/>
      <c r="BP57" s="75"/>
      <c r="BQ57" s="75"/>
      <c r="BR57" s="75"/>
      <c r="BV57" s="75"/>
      <c r="BW57" s="75"/>
      <c r="BX57" s="75"/>
    </row>
    <row r="58">
      <c r="A58" s="76" t="str">
        <f t="shared" si="1"/>
        <v>#REF!</v>
      </c>
      <c r="B58" s="75"/>
      <c r="C58" s="75"/>
      <c r="D58" s="75"/>
      <c r="E58" s="75"/>
      <c r="F58" s="75"/>
      <c r="G58" s="75"/>
      <c r="H58" s="75"/>
      <c r="I58" s="75"/>
      <c r="J58" s="75"/>
      <c r="K58" s="75"/>
      <c r="L58" s="75"/>
      <c r="M58" s="75"/>
      <c r="N58" s="75"/>
      <c r="O58" s="75"/>
      <c r="P58" s="75"/>
      <c r="Q58" s="75"/>
      <c r="R58" s="75"/>
      <c r="S58" s="75"/>
      <c r="T58" s="75"/>
      <c r="U58" s="75"/>
      <c r="V58" s="75"/>
      <c r="W58" s="75"/>
      <c r="X58" s="75"/>
      <c r="Y58" s="75"/>
      <c r="Z58" s="75"/>
      <c r="AA58" s="75"/>
      <c r="AB58" s="75"/>
      <c r="AC58" s="75"/>
      <c r="AD58" s="75"/>
      <c r="AE58" s="75"/>
      <c r="AF58" s="75"/>
      <c r="AG58" s="75"/>
      <c r="AH58" s="75"/>
      <c r="AI58" s="75"/>
      <c r="AJ58" s="75"/>
      <c r="AK58" s="75"/>
      <c r="AL58" s="75"/>
      <c r="AM58" s="75"/>
      <c r="AN58" s="75"/>
      <c r="AO58" s="75"/>
      <c r="AP58" s="75"/>
      <c r="AQ58" s="75"/>
      <c r="AR58" s="75"/>
      <c r="AS58" s="75"/>
      <c r="AT58" s="75"/>
      <c r="AU58" s="75"/>
      <c r="AV58" s="75"/>
      <c r="AW58" s="75"/>
      <c r="AX58" s="75"/>
      <c r="AY58" s="76" t="str">
        <f t="shared" si="23"/>
        <v>#REF!</v>
      </c>
      <c r="AZ58" s="75"/>
      <c r="BA58" s="76" t="str">
        <f t="shared" si="24"/>
        <v>#REF!</v>
      </c>
      <c r="BB58" s="75"/>
      <c r="BC58" s="76" t="str">
        <f t="shared" si="25"/>
        <v>#REF!</v>
      </c>
      <c r="BD58" s="84"/>
      <c r="BE58" s="75"/>
      <c r="BF58" s="75"/>
      <c r="BG58" s="75"/>
      <c r="BH58" s="75"/>
      <c r="BI58" s="75"/>
      <c r="BJ58" s="75"/>
      <c r="BK58" s="75"/>
      <c r="BL58" s="75"/>
      <c r="BM58" s="77" t="str">
        <f t="shared" si="28"/>
        <v>#REF!</v>
      </c>
      <c r="BN58" s="75"/>
      <c r="BO58" s="75"/>
      <c r="BP58" s="75"/>
      <c r="BQ58" s="75"/>
      <c r="BR58" s="75"/>
      <c r="BV58" s="75"/>
      <c r="BW58" s="75"/>
      <c r="BX58" s="75"/>
    </row>
    <row r="59">
      <c r="A59" s="76" t="str">
        <f t="shared" si="1"/>
        <v>#REF!</v>
      </c>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6" t="str">
        <f t="shared" si="23"/>
        <v>#REF!</v>
      </c>
      <c r="AZ59" s="75"/>
      <c r="BA59" s="76" t="str">
        <f t="shared" si="24"/>
        <v>#REF!</v>
      </c>
      <c r="BB59" s="75"/>
      <c r="BC59" s="76" t="str">
        <f t="shared" si="25"/>
        <v>#REF!</v>
      </c>
      <c r="BD59" s="84"/>
      <c r="BE59" s="75"/>
      <c r="BF59" s="75"/>
      <c r="BG59" s="75"/>
      <c r="BH59" s="75"/>
      <c r="BI59" s="75"/>
      <c r="BJ59" s="75"/>
      <c r="BK59" s="75"/>
      <c r="BL59" s="75"/>
      <c r="BM59" s="77" t="str">
        <f t="shared" si="28"/>
        <v>#REF!</v>
      </c>
      <c r="BN59" s="75"/>
      <c r="BO59" s="75"/>
      <c r="BP59" s="75"/>
      <c r="BQ59" s="75"/>
      <c r="BR59" s="75"/>
      <c r="BV59" s="75"/>
      <c r="BW59" s="75"/>
      <c r="BX59" s="75"/>
    </row>
    <row r="60">
      <c r="A60" s="76" t="str">
        <f t="shared" si="1"/>
        <v>#REF!</v>
      </c>
      <c r="B60" s="75"/>
      <c r="C60" s="75"/>
      <c r="D60" s="75"/>
      <c r="E60" s="75"/>
      <c r="F60" s="75"/>
      <c r="G60" s="75"/>
      <c r="H60" s="75"/>
      <c r="I60" s="75"/>
      <c r="J60" s="75"/>
      <c r="K60" s="75"/>
      <c r="L60" s="75"/>
      <c r="M60" s="75"/>
      <c r="N60" s="75"/>
      <c r="O60" s="75"/>
      <c r="P60" s="75"/>
      <c r="Q60" s="75"/>
      <c r="R60" s="75"/>
      <c r="S60" s="75"/>
      <c r="T60" s="75"/>
      <c r="U60" s="75"/>
      <c r="V60" s="75"/>
      <c r="W60" s="75"/>
      <c r="X60" s="75"/>
      <c r="Y60" s="75"/>
      <c r="Z60" s="75"/>
      <c r="AA60" s="75"/>
      <c r="AB60" s="75"/>
      <c r="AC60" s="75"/>
      <c r="AD60" s="75"/>
      <c r="AE60" s="75"/>
      <c r="AF60" s="75"/>
      <c r="AG60" s="75"/>
      <c r="AH60" s="75"/>
      <c r="AI60" s="75"/>
      <c r="AJ60" s="75"/>
      <c r="AK60" s="75"/>
      <c r="AL60" s="75"/>
      <c r="AM60" s="75"/>
      <c r="AN60" s="75"/>
      <c r="AO60" s="75"/>
      <c r="AP60" s="75"/>
      <c r="AQ60" s="75"/>
      <c r="AR60" s="75"/>
      <c r="AS60" s="75"/>
      <c r="AT60" s="75"/>
      <c r="AU60" s="75"/>
      <c r="AV60" s="75"/>
      <c r="AW60" s="75"/>
      <c r="AX60" s="75"/>
      <c r="AY60" s="76" t="str">
        <f t="shared" si="23"/>
        <v>#REF!</v>
      </c>
      <c r="AZ60" s="75"/>
      <c r="BA60" s="76" t="str">
        <f t="shared" si="24"/>
        <v>#REF!</v>
      </c>
      <c r="BB60" s="75"/>
      <c r="BC60" s="76" t="str">
        <f t="shared" si="25"/>
        <v>#REF!</v>
      </c>
      <c r="BD60" s="84"/>
      <c r="BE60" s="75"/>
      <c r="BF60" s="75"/>
      <c r="BG60" s="75"/>
      <c r="BH60" s="75"/>
      <c r="BI60" s="75"/>
      <c r="BJ60" s="75"/>
      <c r="BK60" s="75"/>
      <c r="BL60" s="75"/>
      <c r="BM60" s="77" t="str">
        <f t="shared" si="28"/>
        <v>#REF!</v>
      </c>
      <c r="BN60" s="75"/>
      <c r="BO60" s="75"/>
      <c r="BP60" s="75"/>
      <c r="BQ60" s="75"/>
      <c r="BR60" s="75"/>
      <c r="BV60" s="75"/>
      <c r="BW60" s="75"/>
      <c r="BX60" s="75"/>
    </row>
    <row r="61">
      <c r="A61" s="76" t="str">
        <f t="shared" si="1"/>
        <v>#REF!</v>
      </c>
      <c r="B61" s="75"/>
      <c r="C61" s="75"/>
      <c r="D61" s="75"/>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75"/>
      <c r="AK61" s="75"/>
      <c r="AL61" s="75"/>
      <c r="AM61" s="75"/>
      <c r="AN61" s="75"/>
      <c r="AO61" s="75"/>
      <c r="AP61" s="75"/>
      <c r="AQ61" s="75"/>
      <c r="AR61" s="75"/>
      <c r="AS61" s="75"/>
      <c r="AT61" s="75"/>
      <c r="AU61" s="75"/>
      <c r="AV61" s="75"/>
      <c r="AW61" s="75"/>
      <c r="AX61" s="75"/>
      <c r="AY61" s="76" t="str">
        <f t="shared" si="23"/>
        <v>#REF!</v>
      </c>
      <c r="AZ61" s="75"/>
      <c r="BA61" s="76" t="str">
        <f t="shared" si="24"/>
        <v>#REF!</v>
      </c>
      <c r="BB61" s="75"/>
      <c r="BC61" s="76" t="str">
        <f t="shared" si="25"/>
        <v>#REF!</v>
      </c>
      <c r="BD61" s="84"/>
      <c r="BE61" s="75"/>
      <c r="BF61" s="75"/>
      <c r="BG61" s="75"/>
      <c r="BH61" s="75"/>
      <c r="BI61" s="75"/>
      <c r="BJ61" s="75"/>
      <c r="BK61" s="75"/>
      <c r="BL61" s="75"/>
      <c r="BM61" s="77" t="str">
        <f t="shared" si="28"/>
        <v>#REF!</v>
      </c>
      <c r="BN61" s="75"/>
      <c r="BO61" s="75"/>
      <c r="BP61" s="75"/>
      <c r="BQ61" s="75"/>
      <c r="BR61" s="75"/>
      <c r="BS61" s="75"/>
      <c r="BT61" s="75"/>
      <c r="BU61" s="75"/>
      <c r="BV61" s="75"/>
      <c r="BW61" s="75"/>
      <c r="BX61" s="75"/>
    </row>
    <row r="62">
      <c r="A62" s="76" t="str">
        <f t="shared" si="1"/>
        <v>#REF!</v>
      </c>
      <c r="B62" s="75"/>
      <c r="C62" s="75"/>
      <c r="D62" s="75"/>
      <c r="E62" s="75"/>
      <c r="F62" s="75"/>
      <c r="G62" s="75"/>
      <c r="H62" s="75"/>
      <c r="I62" s="75"/>
      <c r="J62" s="75"/>
      <c r="K62" s="75"/>
      <c r="L62" s="75"/>
      <c r="M62" s="75"/>
      <c r="N62" s="75"/>
      <c r="O62" s="75"/>
      <c r="P62" s="75"/>
      <c r="Q62" s="75"/>
      <c r="R62" s="75"/>
      <c r="S62" s="75"/>
      <c r="T62" s="75"/>
      <c r="U62" s="75"/>
      <c r="V62" s="75"/>
      <c r="W62" s="75"/>
      <c r="X62" s="75"/>
      <c r="Y62" s="75"/>
      <c r="Z62" s="75"/>
      <c r="AA62" s="75"/>
      <c r="AB62" s="75"/>
      <c r="AC62" s="75"/>
      <c r="AD62" s="75"/>
      <c r="AE62" s="75"/>
      <c r="AF62" s="75"/>
      <c r="AG62" s="75"/>
      <c r="AH62" s="75"/>
      <c r="AI62" s="75"/>
      <c r="AJ62" s="75"/>
      <c r="AK62" s="75"/>
      <c r="AL62" s="75"/>
      <c r="AM62" s="75"/>
      <c r="AN62" s="75"/>
      <c r="AO62" s="75"/>
      <c r="AP62" s="75"/>
      <c r="AQ62" s="75"/>
      <c r="AR62" s="75"/>
      <c r="AS62" s="75"/>
      <c r="AT62" s="75"/>
      <c r="AU62" s="75"/>
      <c r="AV62" s="75"/>
      <c r="AW62" s="75"/>
      <c r="AX62" s="75"/>
      <c r="AY62" s="76" t="str">
        <f t="shared" si="23"/>
        <v>#REF!</v>
      </c>
      <c r="AZ62" s="75"/>
      <c r="BA62" s="76" t="str">
        <f t="shared" si="24"/>
        <v>#REF!</v>
      </c>
      <c r="BB62" s="75"/>
      <c r="BC62" s="76" t="str">
        <f t="shared" si="25"/>
        <v>#REF!</v>
      </c>
      <c r="BD62" s="84"/>
      <c r="BE62" s="75"/>
      <c r="BF62" s="75"/>
      <c r="BG62" s="75"/>
      <c r="BH62" s="75"/>
      <c r="BI62" s="75"/>
      <c r="BJ62" s="75"/>
      <c r="BK62" s="75"/>
      <c r="BL62" s="75"/>
      <c r="BM62" s="77" t="str">
        <f t="shared" si="28"/>
        <v>#REF!</v>
      </c>
      <c r="BN62" s="75"/>
      <c r="BO62" s="75"/>
      <c r="BP62" s="75"/>
      <c r="BQ62" s="75"/>
      <c r="BR62" s="75"/>
      <c r="BS62" s="75"/>
      <c r="BT62" s="75"/>
      <c r="BU62" s="75"/>
      <c r="BV62" s="75"/>
      <c r="BW62" s="75"/>
      <c r="BX62" s="75"/>
    </row>
    <row r="63">
      <c r="A63" s="76" t="str">
        <f t="shared" si="1"/>
        <v>#REF!</v>
      </c>
      <c r="B63" s="75"/>
      <c r="C63" s="75"/>
      <c r="D63" s="75"/>
      <c r="E63" s="75"/>
      <c r="F63" s="75"/>
      <c r="G63" s="75"/>
      <c r="H63" s="75"/>
      <c r="I63" s="75"/>
      <c r="J63" s="75"/>
      <c r="K63" s="75"/>
      <c r="L63" s="75"/>
      <c r="M63" s="75"/>
      <c r="N63" s="75"/>
      <c r="O63" s="75"/>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5"/>
      <c r="AO63" s="75"/>
      <c r="AP63" s="75"/>
      <c r="AQ63" s="75"/>
      <c r="AR63" s="75"/>
      <c r="AS63" s="75"/>
      <c r="AT63" s="75"/>
      <c r="AU63" s="75"/>
      <c r="AV63" s="75"/>
      <c r="AW63" s="75"/>
      <c r="AX63" s="75"/>
      <c r="AY63" s="76" t="str">
        <f t="shared" si="23"/>
        <v>#REF!</v>
      </c>
      <c r="AZ63" s="75"/>
      <c r="BA63" s="76" t="str">
        <f t="shared" si="24"/>
        <v>#REF!</v>
      </c>
      <c r="BB63" s="75"/>
      <c r="BC63" s="76" t="str">
        <f t="shared" si="25"/>
        <v>#REF!</v>
      </c>
      <c r="BD63" s="84"/>
      <c r="BE63" s="75"/>
      <c r="BF63" s="75"/>
      <c r="BG63" s="75"/>
      <c r="BH63" s="75"/>
      <c r="BI63" s="75"/>
      <c r="BJ63" s="75"/>
      <c r="BK63" s="75"/>
      <c r="BL63" s="75"/>
      <c r="BM63" s="77" t="str">
        <f t="shared" si="28"/>
        <v>#REF!</v>
      </c>
      <c r="BN63" s="75"/>
      <c r="BO63" s="75"/>
      <c r="BP63" s="75"/>
      <c r="BQ63" s="75"/>
      <c r="BR63" s="75"/>
      <c r="BS63" s="75"/>
      <c r="BT63" s="75"/>
      <c r="BU63" s="75"/>
      <c r="BV63" s="75"/>
      <c r="BW63" s="75"/>
      <c r="BX63" s="75"/>
    </row>
    <row r="64">
      <c r="A64" s="76" t="str">
        <f t="shared" si="1"/>
        <v>#REF!</v>
      </c>
      <c r="B64" s="75"/>
      <c r="C64" s="75"/>
      <c r="D64" s="75"/>
      <c r="E64" s="75"/>
      <c r="F64" s="75"/>
      <c r="G64" s="75"/>
      <c r="H64" s="75"/>
      <c r="I64" s="75"/>
      <c r="J64" s="75"/>
      <c r="K64" s="75"/>
      <c r="L64" s="75"/>
      <c r="M64" s="75"/>
      <c r="N64" s="75"/>
      <c r="O64" s="75"/>
      <c r="P64" s="75"/>
      <c r="Q64" s="75"/>
      <c r="R64" s="75"/>
      <c r="S64" s="75"/>
      <c r="T64" s="75"/>
      <c r="U64" s="75"/>
      <c r="V64" s="75"/>
      <c r="W64" s="75"/>
      <c r="X64" s="75"/>
      <c r="Y64" s="75"/>
      <c r="Z64" s="75"/>
      <c r="AA64" s="75"/>
      <c r="AB64" s="75"/>
      <c r="AC64" s="75"/>
      <c r="AD64" s="75"/>
      <c r="AE64" s="75"/>
      <c r="AF64" s="75"/>
      <c r="AG64" s="75"/>
      <c r="AH64" s="75"/>
      <c r="AI64" s="75"/>
      <c r="AJ64" s="75"/>
      <c r="AK64" s="75"/>
      <c r="AL64" s="75"/>
      <c r="AM64" s="75"/>
      <c r="AN64" s="75"/>
      <c r="AO64" s="75"/>
      <c r="AP64" s="75"/>
      <c r="AQ64" s="75"/>
      <c r="AR64" s="75"/>
      <c r="AS64" s="75"/>
      <c r="AT64" s="75"/>
      <c r="AU64" s="75"/>
      <c r="AV64" s="75"/>
      <c r="AW64" s="75"/>
      <c r="AX64" s="75"/>
      <c r="AY64" s="76" t="str">
        <f t="shared" si="23"/>
        <v>#REF!</v>
      </c>
      <c r="AZ64" s="75"/>
      <c r="BA64" s="76" t="str">
        <f t="shared" si="24"/>
        <v>#REF!</v>
      </c>
      <c r="BB64" s="75"/>
      <c r="BC64" s="76" t="str">
        <f t="shared" si="25"/>
        <v>#REF!</v>
      </c>
      <c r="BD64" s="84"/>
      <c r="BE64" s="75"/>
      <c r="BF64" s="75"/>
      <c r="BG64" s="75"/>
      <c r="BH64" s="75"/>
      <c r="BI64" s="75"/>
      <c r="BJ64" s="75"/>
      <c r="BK64" s="75"/>
      <c r="BL64" s="75"/>
      <c r="BM64" s="77" t="str">
        <f t="shared" ref="BM64:BM68" si="70">CONCATENATE('Term Reference Guide (in-progress)'!B3," [",'Term Reference Guide (in-progress)'!C3,"]")</f>
        <v>#REF!</v>
      </c>
      <c r="BN64" s="75"/>
      <c r="BO64" s="75"/>
      <c r="BP64" s="75"/>
      <c r="BQ64" s="75"/>
      <c r="BR64" s="75"/>
      <c r="BS64" s="75"/>
      <c r="BT64" s="75"/>
      <c r="BU64" s="75"/>
      <c r="BV64" s="75"/>
      <c r="BW64" s="75"/>
      <c r="BX64" s="75"/>
    </row>
    <row r="65">
      <c r="A65" s="76" t="str">
        <f t="shared" si="1"/>
        <v>#REF!</v>
      </c>
      <c r="B65" s="75"/>
      <c r="C65" s="75"/>
      <c r="D65" s="75"/>
      <c r="E65" s="75"/>
      <c r="F65" s="75"/>
      <c r="G65" s="75"/>
      <c r="H65" s="75"/>
      <c r="I65" s="75"/>
      <c r="J65" s="75"/>
      <c r="K65" s="75"/>
      <c r="L65" s="75"/>
      <c r="M65" s="75"/>
      <c r="N65" s="75"/>
      <c r="O65" s="75"/>
      <c r="P65" s="75"/>
      <c r="Q65" s="75"/>
      <c r="R65" s="75"/>
      <c r="S65" s="75"/>
      <c r="T65" s="75"/>
      <c r="U65" s="75"/>
      <c r="V65" s="75"/>
      <c r="W65" s="75"/>
      <c r="X65" s="75"/>
      <c r="Y65" s="75"/>
      <c r="Z65" s="75"/>
      <c r="AA65" s="75"/>
      <c r="AB65" s="75"/>
      <c r="AC65" s="75"/>
      <c r="AD65" s="75"/>
      <c r="AE65" s="75"/>
      <c r="AF65" s="75"/>
      <c r="AG65" s="75"/>
      <c r="AH65" s="75"/>
      <c r="AI65" s="75"/>
      <c r="AJ65" s="75"/>
      <c r="AK65" s="75"/>
      <c r="AL65" s="75"/>
      <c r="AM65" s="75"/>
      <c r="AN65" s="75"/>
      <c r="AO65" s="75"/>
      <c r="AP65" s="75"/>
      <c r="AQ65" s="75"/>
      <c r="AR65" s="75"/>
      <c r="AS65" s="75"/>
      <c r="AT65" s="75"/>
      <c r="AU65" s="75"/>
      <c r="AV65" s="75"/>
      <c r="AW65" s="75"/>
      <c r="AX65" s="75"/>
      <c r="AY65" s="76" t="str">
        <f t="shared" si="23"/>
        <v>#REF!</v>
      </c>
      <c r="AZ65" s="75"/>
      <c r="BA65" s="76" t="str">
        <f t="shared" si="24"/>
        <v>#REF!</v>
      </c>
      <c r="BB65" s="75"/>
      <c r="BC65" s="76" t="str">
        <f t="shared" si="25"/>
        <v>#REF!</v>
      </c>
      <c r="BD65" s="84"/>
      <c r="BE65" s="75"/>
      <c r="BF65" s="75"/>
      <c r="BG65" s="75"/>
      <c r="BH65" s="75"/>
      <c r="BI65" s="75"/>
      <c r="BJ65" s="75"/>
      <c r="BK65" s="75"/>
      <c r="BL65" s="75"/>
      <c r="BM65" s="77" t="str">
        <f t="shared" si="70"/>
        <v>#REF!</v>
      </c>
      <c r="BN65" s="75"/>
      <c r="BO65" s="75"/>
      <c r="BP65" s="75"/>
      <c r="BQ65" s="75"/>
      <c r="BR65" s="75"/>
      <c r="BS65" s="75"/>
      <c r="BT65" s="75"/>
      <c r="BU65" s="75"/>
      <c r="BV65" s="75"/>
      <c r="BW65" s="75"/>
      <c r="BX65" s="75"/>
    </row>
    <row r="66">
      <c r="A66" s="76" t="str">
        <f t="shared" si="1"/>
        <v>#REF!</v>
      </c>
      <c r="B66" s="75"/>
      <c r="C66" s="75"/>
      <c r="D66" s="75"/>
      <c r="E66" s="75"/>
      <c r="F66" s="75"/>
      <c r="G66" s="75"/>
      <c r="H66" s="75"/>
      <c r="I66" s="75"/>
      <c r="J66" s="75"/>
      <c r="K66" s="75"/>
      <c r="L66" s="75"/>
      <c r="M66" s="75"/>
      <c r="N66" s="75"/>
      <c r="O66" s="75"/>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6" t="str">
        <f t="shared" si="23"/>
        <v>#REF!</v>
      </c>
      <c r="AZ66" s="75"/>
      <c r="BA66" s="76" t="str">
        <f t="shared" si="24"/>
        <v>#REF!</v>
      </c>
      <c r="BB66" s="75"/>
      <c r="BC66" s="76" t="str">
        <f t="shared" si="25"/>
        <v>#REF!</v>
      </c>
      <c r="BD66" s="84"/>
      <c r="BE66" s="75"/>
      <c r="BF66" s="75"/>
      <c r="BG66" s="75"/>
      <c r="BH66" s="75"/>
      <c r="BI66" s="75"/>
      <c r="BJ66" s="75"/>
      <c r="BK66" s="75"/>
      <c r="BL66" s="75"/>
      <c r="BM66" s="77" t="str">
        <f t="shared" si="70"/>
        <v>#REF!</v>
      </c>
      <c r="BN66" s="75"/>
      <c r="BO66" s="75"/>
      <c r="BP66" s="75"/>
      <c r="BQ66" s="75"/>
      <c r="BR66" s="75"/>
      <c r="BS66" s="75"/>
      <c r="BT66" s="75"/>
      <c r="BU66" s="75"/>
      <c r="BV66" s="75"/>
      <c r="BW66" s="75"/>
      <c r="BX66" s="75"/>
    </row>
    <row r="67">
      <c r="A67" s="76" t="str">
        <f t="shared" si="1"/>
        <v>#REF!</v>
      </c>
      <c r="B67" s="75"/>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c r="AL67" s="75"/>
      <c r="AM67" s="75"/>
      <c r="AN67" s="75"/>
      <c r="AO67" s="75"/>
      <c r="AP67" s="75"/>
      <c r="AQ67" s="75"/>
      <c r="AR67" s="75"/>
      <c r="AS67" s="75"/>
      <c r="AT67" s="75"/>
      <c r="AU67" s="75"/>
      <c r="AV67" s="75"/>
      <c r="AW67" s="75"/>
      <c r="AX67" s="75"/>
      <c r="AY67" s="76" t="str">
        <f t="shared" si="23"/>
        <v>#REF!</v>
      </c>
      <c r="AZ67" s="75"/>
      <c r="BA67" s="76" t="str">
        <f t="shared" si="24"/>
        <v>#REF!</v>
      </c>
      <c r="BB67" s="75"/>
      <c r="BC67" s="76" t="str">
        <f t="shared" si="25"/>
        <v>#REF!</v>
      </c>
      <c r="BD67" s="84"/>
      <c r="BE67" s="75"/>
      <c r="BF67" s="75"/>
      <c r="BG67" s="75"/>
      <c r="BH67" s="75"/>
      <c r="BI67" s="75"/>
      <c r="BJ67" s="75"/>
      <c r="BK67" s="75"/>
      <c r="BL67" s="75"/>
      <c r="BM67" s="77" t="str">
        <f t="shared" si="70"/>
        <v>#REF!</v>
      </c>
      <c r="BN67" s="75"/>
      <c r="BO67" s="75"/>
      <c r="BP67" s="75"/>
      <c r="BQ67" s="75"/>
      <c r="BR67" s="75"/>
      <c r="BS67" s="75"/>
      <c r="BT67" s="75"/>
      <c r="BU67" s="75"/>
      <c r="BV67" s="75"/>
      <c r="BW67" s="75"/>
      <c r="BX67" s="75"/>
    </row>
    <row r="68">
      <c r="A68" s="76" t="str">
        <f t="shared" si="1"/>
        <v>#REF!</v>
      </c>
      <c r="B68" s="75"/>
      <c r="C68" s="75"/>
      <c r="D68" s="75"/>
      <c r="E68" s="75"/>
      <c r="F68" s="75"/>
      <c r="G68" s="75"/>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6" t="str">
        <f t="shared" si="23"/>
        <v>#REF!</v>
      </c>
      <c r="AZ68" s="75"/>
      <c r="BA68" s="76" t="str">
        <f t="shared" si="24"/>
        <v>#REF!</v>
      </c>
      <c r="BB68" s="75"/>
      <c r="BC68" s="76" t="str">
        <f t="shared" si="25"/>
        <v>#REF!</v>
      </c>
      <c r="BD68" s="84"/>
      <c r="BE68" s="75"/>
      <c r="BF68" s="75"/>
      <c r="BG68" s="75"/>
      <c r="BH68" s="75"/>
      <c r="BI68" s="75"/>
      <c r="BJ68" s="75"/>
      <c r="BK68" s="75"/>
      <c r="BL68" s="75"/>
      <c r="BM68" s="77" t="str">
        <f t="shared" si="70"/>
        <v>#REF!</v>
      </c>
      <c r="BN68" s="75"/>
      <c r="BO68" s="75"/>
      <c r="BP68" s="75"/>
      <c r="BQ68" s="75"/>
      <c r="BR68" s="75"/>
      <c r="BS68" s="75"/>
      <c r="BT68" s="75"/>
      <c r="BU68" s="75"/>
      <c r="BV68" s="75"/>
      <c r="BW68" s="75"/>
      <c r="BX68" s="75"/>
    </row>
    <row r="69">
      <c r="A69" s="76" t="str">
        <f t="shared" si="1"/>
        <v>#REF!</v>
      </c>
      <c r="B69" s="75"/>
      <c r="C69" s="75"/>
      <c r="D69" s="75"/>
      <c r="E69" s="75"/>
      <c r="F69" s="75"/>
      <c r="G69" s="75"/>
      <c r="H69" s="75"/>
      <c r="I69" s="75"/>
      <c r="J69" s="75"/>
      <c r="K69" s="75"/>
      <c r="L69" s="75"/>
      <c r="M69" s="75"/>
      <c r="N69" s="75"/>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6" t="str">
        <f t="shared" si="23"/>
        <v>#REF!</v>
      </c>
      <c r="AZ69" s="75"/>
      <c r="BA69" s="76" t="str">
        <f t="shared" si="24"/>
        <v>#REF!</v>
      </c>
      <c r="BB69" s="75"/>
      <c r="BC69" s="76" t="str">
        <f t="shared" si="25"/>
        <v>#REF!</v>
      </c>
      <c r="BD69" s="84"/>
      <c r="BE69" s="75"/>
      <c r="BF69" s="75"/>
      <c r="BG69" s="75"/>
      <c r="BH69" s="75"/>
      <c r="BI69" s="75"/>
      <c r="BJ69" s="75"/>
      <c r="BN69" s="75"/>
      <c r="BO69" s="75"/>
      <c r="BQ69" s="75"/>
      <c r="BR69" s="75"/>
      <c r="BS69" s="75"/>
      <c r="BT69" s="75"/>
      <c r="BU69" s="75"/>
      <c r="BV69" s="75"/>
      <c r="BW69" s="75"/>
      <c r="BX69" s="75"/>
    </row>
    <row r="70">
      <c r="A70" s="76" t="str">
        <f t="shared" si="1"/>
        <v>#REF!</v>
      </c>
      <c r="B70" s="75"/>
      <c r="C70" s="75"/>
      <c r="D70" s="75"/>
      <c r="E70" s="75"/>
      <c r="F70" s="75"/>
      <c r="G70" s="75"/>
      <c r="H70" s="75"/>
      <c r="I70" s="75"/>
      <c r="J70" s="75"/>
      <c r="K70" s="75"/>
      <c r="L70" s="75"/>
      <c r="M70" s="75"/>
      <c r="N70" s="75"/>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6" t="str">
        <f t="shared" si="23"/>
        <v>#REF!</v>
      </c>
      <c r="AZ70" s="75"/>
      <c r="BA70" s="76" t="str">
        <f t="shared" si="24"/>
        <v>#REF!</v>
      </c>
      <c r="BB70" s="75"/>
      <c r="BC70" s="76" t="str">
        <f t="shared" si="25"/>
        <v>#REF!</v>
      </c>
      <c r="BD70" s="84"/>
      <c r="BE70" s="75"/>
      <c r="BF70" s="75"/>
      <c r="BG70" s="75"/>
      <c r="BH70" s="75"/>
      <c r="BI70" s="75"/>
      <c r="BJ70" s="75"/>
      <c r="BN70" s="75"/>
      <c r="BO70" s="75"/>
      <c r="BQ70" s="75"/>
      <c r="BR70" s="75"/>
      <c r="BS70" s="75"/>
      <c r="BT70" s="75"/>
      <c r="BU70" s="75"/>
      <c r="BV70" s="75"/>
      <c r="BW70" s="75"/>
      <c r="BX70" s="75"/>
    </row>
    <row r="71">
      <c r="A71" s="76" t="str">
        <f t="shared" si="1"/>
        <v>#REF!</v>
      </c>
      <c r="B71" s="75"/>
      <c r="C71" s="75"/>
      <c r="D71" s="75"/>
      <c r="E71" s="75"/>
      <c r="F71" s="75"/>
      <c r="G71" s="75"/>
      <c r="H71" s="75"/>
      <c r="I71" s="75"/>
      <c r="J71" s="75"/>
      <c r="K71" s="75"/>
      <c r="L71" s="75"/>
      <c r="M71" s="75"/>
      <c r="N71" s="75"/>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6" t="str">
        <f t="shared" si="23"/>
        <v>#REF!</v>
      </c>
      <c r="AZ71" s="75"/>
      <c r="BA71" s="76" t="str">
        <f t="shared" si="24"/>
        <v>#REF!</v>
      </c>
      <c r="BB71" s="75"/>
      <c r="BC71" s="76" t="str">
        <f t="shared" si="25"/>
        <v>#REF!</v>
      </c>
      <c r="BD71" s="84"/>
      <c r="BE71" s="75"/>
      <c r="BF71" s="75"/>
      <c r="BG71" s="75"/>
      <c r="BH71" s="75"/>
      <c r="BI71" s="75"/>
      <c r="BJ71" s="75"/>
      <c r="BN71" s="75"/>
      <c r="BO71" s="75"/>
      <c r="BP71" s="75"/>
      <c r="BQ71" s="75"/>
      <c r="BR71" s="75"/>
      <c r="BS71" s="75"/>
      <c r="BT71" s="75"/>
      <c r="BU71" s="75"/>
      <c r="BV71" s="75"/>
      <c r="BW71" s="75"/>
      <c r="BX71" s="75"/>
    </row>
    <row r="72">
      <c r="A72" s="76" t="str">
        <f t="shared" si="1"/>
        <v>#REF!</v>
      </c>
      <c r="B72" s="76"/>
      <c r="C72" s="75"/>
      <c r="D72" s="75"/>
      <c r="E72" s="75"/>
      <c r="F72" s="75"/>
      <c r="G72" s="75"/>
      <c r="H72" s="75"/>
      <c r="I72" s="75"/>
      <c r="J72" s="75"/>
      <c r="K72" s="75"/>
      <c r="L72" s="75"/>
      <c r="M72" s="75"/>
      <c r="N72" s="75"/>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6" t="str">
        <f t="shared" si="23"/>
        <v>#REF!</v>
      </c>
      <c r="AZ72" s="75"/>
      <c r="BA72" s="76" t="str">
        <f t="shared" si="24"/>
        <v>#REF!</v>
      </c>
      <c r="BB72" s="75"/>
      <c r="BC72" s="76" t="str">
        <f t="shared" si="25"/>
        <v>#REF!</v>
      </c>
      <c r="BD72" s="84"/>
      <c r="BE72" s="75"/>
      <c r="BF72" s="75"/>
      <c r="BG72" s="75"/>
      <c r="BH72" s="75"/>
      <c r="BI72" s="75"/>
      <c r="BJ72" s="75"/>
      <c r="BN72" s="75"/>
      <c r="BO72" s="75"/>
      <c r="BP72" s="75"/>
      <c r="BQ72" s="75"/>
      <c r="BR72" s="75"/>
      <c r="BS72" s="75"/>
      <c r="BT72" s="75"/>
      <c r="BU72" s="75"/>
      <c r="BV72" s="75"/>
      <c r="BW72" s="75"/>
      <c r="BX72" s="75"/>
    </row>
    <row r="73">
      <c r="A73" s="76" t="str">
        <f t="shared" si="1"/>
        <v>#REF!</v>
      </c>
      <c r="B73" s="75"/>
      <c r="C73" s="75"/>
      <c r="D73" s="75"/>
      <c r="E73" s="75"/>
      <c r="F73" s="75"/>
      <c r="G73" s="75"/>
      <c r="H73" s="75"/>
      <c r="I73" s="75"/>
      <c r="J73" s="75"/>
      <c r="K73" s="75"/>
      <c r="L73" s="75"/>
      <c r="M73" s="75"/>
      <c r="N73" s="75"/>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6" t="str">
        <f t="shared" si="23"/>
        <v>#REF!</v>
      </c>
      <c r="AZ73" s="75"/>
      <c r="BA73" s="76" t="str">
        <f t="shared" si="24"/>
        <v>#REF!</v>
      </c>
      <c r="BB73" s="75"/>
      <c r="BC73" s="76" t="str">
        <f t="shared" si="25"/>
        <v>#REF!</v>
      </c>
      <c r="BD73" s="84"/>
      <c r="BE73" s="75"/>
      <c r="BF73" s="75"/>
      <c r="BG73" s="75"/>
      <c r="BH73" s="75"/>
      <c r="BI73" s="75"/>
      <c r="BJ73" s="75"/>
      <c r="BN73" s="75"/>
      <c r="BO73" s="75"/>
      <c r="BP73" s="75"/>
      <c r="BQ73" s="75"/>
      <c r="BR73" s="75"/>
      <c r="BS73" s="75"/>
      <c r="BT73" s="75"/>
      <c r="BU73" s="75"/>
      <c r="BV73" s="75"/>
      <c r="BW73" s="75"/>
      <c r="BX73" s="75"/>
    </row>
    <row r="74">
      <c r="A74" s="76" t="str">
        <f t="shared" si="1"/>
        <v>#REF!</v>
      </c>
      <c r="B74" s="75"/>
      <c r="C74" s="75"/>
      <c r="D74" s="75"/>
      <c r="E74" s="75"/>
      <c r="F74" s="75"/>
      <c r="G74" s="75"/>
      <c r="H74" s="75"/>
      <c r="I74" s="75"/>
      <c r="J74" s="75"/>
      <c r="K74" s="75"/>
      <c r="L74" s="75"/>
      <c r="M74" s="75"/>
      <c r="N74" s="75"/>
      <c r="O74" s="75"/>
      <c r="P74" s="75"/>
      <c r="Q74" s="75"/>
      <c r="R74" s="75"/>
      <c r="S74" s="75"/>
      <c r="T74" s="75"/>
      <c r="U74" s="75"/>
      <c r="V74" s="75"/>
      <c r="W74" s="75"/>
      <c r="X74" s="75"/>
      <c r="Y74" s="75"/>
      <c r="Z74" s="75"/>
      <c r="AA74" s="75"/>
      <c r="AB74" s="75"/>
      <c r="AC74" s="75"/>
      <c r="AD74" s="75"/>
      <c r="AE74" s="75"/>
      <c r="AF74" s="75"/>
      <c r="AG74" s="75"/>
      <c r="AH74" s="75"/>
      <c r="AI74" s="75"/>
      <c r="AJ74" s="75"/>
      <c r="AK74" s="75"/>
      <c r="AL74" s="75"/>
      <c r="AM74" s="75"/>
      <c r="AN74" s="75"/>
      <c r="AO74" s="75"/>
      <c r="AP74" s="75"/>
      <c r="AQ74" s="75"/>
      <c r="AR74" s="75"/>
      <c r="AS74" s="75"/>
      <c r="AT74" s="75"/>
      <c r="AU74" s="75"/>
      <c r="AV74" s="75"/>
      <c r="AW74" s="75"/>
      <c r="AX74" s="75"/>
      <c r="AY74" s="76" t="str">
        <f t="shared" si="23"/>
        <v>#REF!</v>
      </c>
      <c r="AZ74" s="76"/>
      <c r="BA74" s="76" t="str">
        <f t="shared" si="24"/>
        <v>#REF!</v>
      </c>
      <c r="BB74" s="75"/>
      <c r="BC74" s="76" t="str">
        <f t="shared" si="25"/>
        <v>#REF!</v>
      </c>
      <c r="BD74" s="84"/>
      <c r="BE74" s="75"/>
      <c r="BF74" s="75"/>
      <c r="BG74" s="75"/>
      <c r="BH74" s="75"/>
      <c r="BI74" s="75"/>
      <c r="BJ74" s="75"/>
      <c r="BN74" s="75"/>
      <c r="BO74" s="75"/>
      <c r="BP74" s="75"/>
      <c r="BQ74" s="75"/>
      <c r="BR74" s="75"/>
      <c r="BS74" s="75"/>
      <c r="BT74" s="75"/>
      <c r="BU74" s="75"/>
      <c r="BV74" s="75"/>
      <c r="BW74" s="75"/>
      <c r="BX74" s="75"/>
    </row>
    <row r="75">
      <c r="A75" s="76" t="str">
        <f t="shared" si="1"/>
        <v>#REF!</v>
      </c>
      <c r="B75" s="75"/>
      <c r="C75" s="75"/>
      <c r="D75" s="75"/>
      <c r="E75" s="75"/>
      <c r="F75" s="75"/>
      <c r="G75" s="75"/>
      <c r="H75" s="75"/>
      <c r="I75" s="75"/>
      <c r="J75" s="75"/>
      <c r="K75" s="75"/>
      <c r="L75" s="75"/>
      <c r="M75" s="75"/>
      <c r="N75" s="75"/>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6" t="str">
        <f t="shared" si="23"/>
        <v>#REF!</v>
      </c>
      <c r="AZ75" s="75"/>
      <c r="BA75" s="76" t="str">
        <f t="shared" si="24"/>
        <v>#REF!</v>
      </c>
      <c r="BB75" s="76"/>
      <c r="BC75" s="76" t="str">
        <f t="shared" si="25"/>
        <v>#REF!</v>
      </c>
      <c r="BD75" s="84"/>
      <c r="BE75" s="75"/>
      <c r="BF75" s="75"/>
      <c r="BG75" s="75"/>
      <c r="BH75" s="75"/>
      <c r="BI75" s="75"/>
      <c r="BJ75" s="75"/>
      <c r="BN75" s="75"/>
      <c r="BO75" s="75"/>
      <c r="BP75" s="75"/>
      <c r="BQ75" s="75"/>
      <c r="BR75" s="75"/>
      <c r="BS75" s="75"/>
      <c r="BT75" s="75"/>
      <c r="BU75" s="75"/>
      <c r="BV75" s="75"/>
      <c r="BW75" s="75"/>
      <c r="BX75" s="75"/>
    </row>
    <row r="76">
      <c r="A76" s="76" t="str">
        <f t="shared" si="1"/>
        <v>#REF!</v>
      </c>
      <c r="B76" s="75"/>
      <c r="C76" s="75"/>
      <c r="D76" s="75"/>
      <c r="E76" s="75"/>
      <c r="F76" s="75"/>
      <c r="G76" s="75"/>
      <c r="H76" s="75"/>
      <c r="I76" s="75"/>
      <c r="J76" s="75"/>
      <c r="K76" s="75"/>
      <c r="L76" s="75"/>
      <c r="M76" s="75"/>
      <c r="N76" s="75"/>
      <c r="O76" s="75"/>
      <c r="P76" s="75"/>
      <c r="Q76" s="75"/>
      <c r="R76" s="75"/>
      <c r="S76" s="75"/>
      <c r="T76" s="75"/>
      <c r="U76" s="75"/>
      <c r="V76" s="75"/>
      <c r="W76" s="75"/>
      <c r="X76" s="75"/>
      <c r="Y76" s="75"/>
      <c r="Z76" s="75"/>
      <c r="AA76" s="75"/>
      <c r="AB76" s="75"/>
      <c r="AC76" s="75"/>
      <c r="AD76" s="75"/>
      <c r="AE76" s="75"/>
      <c r="AF76" s="75"/>
      <c r="AG76" s="75"/>
      <c r="AH76" s="75"/>
      <c r="AI76" s="75"/>
      <c r="AJ76" s="75"/>
      <c r="AK76" s="75"/>
      <c r="AL76" s="75"/>
      <c r="AM76" s="75"/>
      <c r="AN76" s="75"/>
      <c r="AO76" s="75"/>
      <c r="AP76" s="75"/>
      <c r="AQ76" s="75"/>
      <c r="AR76" s="75"/>
      <c r="AS76" s="75"/>
      <c r="AT76" s="75"/>
      <c r="AU76" s="75"/>
      <c r="AV76" s="75"/>
      <c r="AW76" s="75"/>
      <c r="AX76" s="75"/>
      <c r="AY76" s="76" t="str">
        <f t="shared" si="23"/>
        <v>#REF!</v>
      </c>
      <c r="AZ76" s="75"/>
      <c r="BA76" s="76" t="str">
        <f t="shared" si="24"/>
        <v>#REF!</v>
      </c>
      <c r="BB76" s="75"/>
      <c r="BC76" s="76" t="str">
        <f t="shared" si="25"/>
        <v>#REF!</v>
      </c>
      <c r="BD76" s="84"/>
      <c r="BE76" s="75"/>
      <c r="BF76" s="75"/>
      <c r="BG76" s="75"/>
      <c r="BH76" s="75"/>
      <c r="BI76" s="75"/>
      <c r="BJ76" s="75"/>
      <c r="BN76" s="75"/>
      <c r="BO76" s="75"/>
      <c r="BP76" s="75"/>
      <c r="BQ76" s="75"/>
      <c r="BR76" s="75"/>
      <c r="BS76" s="75"/>
      <c r="BT76" s="75"/>
      <c r="BU76" s="75"/>
      <c r="BV76" s="75"/>
      <c r="BW76" s="75"/>
      <c r="BX76" s="75"/>
    </row>
    <row r="77">
      <c r="A77" s="76" t="str">
        <f t="shared" si="1"/>
        <v>#REF!</v>
      </c>
      <c r="B77" s="75"/>
      <c r="C77" s="75"/>
      <c r="D77" s="75"/>
      <c r="E77" s="75"/>
      <c r="F77" s="75"/>
      <c r="G77" s="75"/>
      <c r="H77" s="75"/>
      <c r="I77" s="75"/>
      <c r="J77" s="75"/>
      <c r="K77" s="75"/>
      <c r="L77" s="75"/>
      <c r="M77" s="75"/>
      <c r="N77" s="75"/>
      <c r="O77" s="75"/>
      <c r="P77" s="75"/>
      <c r="Q77" s="75"/>
      <c r="R77" s="75"/>
      <c r="S77" s="75"/>
      <c r="T77" s="75"/>
      <c r="U77" s="75"/>
      <c r="V77" s="75"/>
      <c r="W77" s="75"/>
      <c r="X77" s="75"/>
      <c r="Y77" s="75"/>
      <c r="Z77" s="75"/>
      <c r="AA77" s="75"/>
      <c r="AB77" s="75"/>
      <c r="AC77" s="75"/>
      <c r="AD77" s="75"/>
      <c r="AE77" s="75"/>
      <c r="AF77" s="75"/>
      <c r="AG77" s="75"/>
      <c r="AH77" s="75"/>
      <c r="AI77" s="75"/>
      <c r="AJ77" s="75"/>
      <c r="AK77" s="75"/>
      <c r="AL77" s="75"/>
      <c r="AM77" s="75"/>
      <c r="AN77" s="75"/>
      <c r="AO77" s="75"/>
      <c r="AP77" s="75"/>
      <c r="AQ77" s="75"/>
      <c r="AR77" s="75"/>
      <c r="AS77" s="75"/>
      <c r="AT77" s="75"/>
      <c r="AU77" s="75"/>
      <c r="AV77" s="75"/>
      <c r="AW77" s="75"/>
      <c r="AX77" s="75"/>
      <c r="AY77" s="76" t="str">
        <f t="shared" si="23"/>
        <v>#REF!</v>
      </c>
      <c r="AZ77" s="75"/>
      <c r="BA77" s="76" t="str">
        <f t="shared" si="24"/>
        <v>#REF!</v>
      </c>
      <c r="BB77" s="75"/>
      <c r="BC77" s="76" t="str">
        <f t="shared" si="25"/>
        <v>#REF!</v>
      </c>
      <c r="BD77" s="84"/>
      <c r="BE77" s="75"/>
      <c r="BF77" s="75"/>
      <c r="BG77" s="75"/>
      <c r="BH77" s="75"/>
      <c r="BI77" s="75"/>
      <c r="BJ77" s="75"/>
      <c r="BK77" s="75"/>
      <c r="BL77" s="75"/>
      <c r="BN77" s="75"/>
      <c r="BO77" s="75"/>
      <c r="BP77" s="75"/>
      <c r="BQ77" s="75"/>
      <c r="BR77" s="75"/>
      <c r="BS77" s="75"/>
      <c r="BT77" s="75"/>
      <c r="BU77" s="75"/>
      <c r="BV77" s="75"/>
      <c r="BW77" s="75"/>
      <c r="BX77" s="75"/>
    </row>
    <row r="78">
      <c r="A78" s="76" t="str">
        <f t="shared" si="1"/>
        <v>#REF!</v>
      </c>
      <c r="B78" s="75"/>
      <c r="C78" s="75"/>
      <c r="D78" s="75"/>
      <c r="E78" s="75"/>
      <c r="F78" s="75"/>
      <c r="G78" s="75"/>
      <c r="H78" s="75"/>
      <c r="I78" s="75"/>
      <c r="J78" s="75"/>
      <c r="K78" s="75"/>
      <c r="L78" s="75"/>
      <c r="M78" s="75"/>
      <c r="N78" s="75"/>
      <c r="O78" s="75"/>
      <c r="P78" s="75"/>
      <c r="Q78" s="75"/>
      <c r="R78" s="75"/>
      <c r="S78" s="75"/>
      <c r="T78" s="75"/>
      <c r="U78" s="75"/>
      <c r="V78" s="75"/>
      <c r="W78" s="75"/>
      <c r="X78" s="75"/>
      <c r="Y78" s="75"/>
      <c r="Z78" s="75"/>
      <c r="AA78" s="75"/>
      <c r="AB78" s="75"/>
      <c r="AC78" s="75"/>
      <c r="AD78" s="75"/>
      <c r="AE78" s="75"/>
      <c r="AF78" s="75"/>
      <c r="AG78" s="75"/>
      <c r="AH78" s="75"/>
      <c r="AI78" s="75"/>
      <c r="AJ78" s="75"/>
      <c r="AK78" s="75"/>
      <c r="AL78" s="75"/>
      <c r="AM78" s="75"/>
      <c r="AN78" s="75"/>
      <c r="AO78" s="75"/>
      <c r="AP78" s="75"/>
      <c r="AQ78" s="75"/>
      <c r="AR78" s="75"/>
      <c r="AS78" s="75"/>
      <c r="AT78" s="75"/>
      <c r="AU78" s="75"/>
      <c r="AV78" s="75"/>
      <c r="AW78" s="75"/>
      <c r="AX78" s="75"/>
      <c r="AY78" s="76" t="str">
        <f t="shared" si="23"/>
        <v>#REF!</v>
      </c>
      <c r="AZ78" s="75"/>
      <c r="BA78" s="76" t="str">
        <f t="shared" si="24"/>
        <v>#REF!</v>
      </c>
      <c r="BB78" s="75"/>
      <c r="BC78" s="76" t="str">
        <f t="shared" si="25"/>
        <v>#REF!</v>
      </c>
      <c r="BD78" s="84"/>
      <c r="BE78" s="75"/>
      <c r="BF78" s="75"/>
      <c r="BG78" s="75"/>
      <c r="BH78" s="75"/>
      <c r="BI78" s="75"/>
      <c r="BJ78" s="75"/>
      <c r="BK78" s="75"/>
      <c r="BL78" s="75"/>
      <c r="BN78" s="75"/>
      <c r="BO78" s="75"/>
      <c r="BP78" s="75"/>
      <c r="BQ78" s="75"/>
      <c r="BR78" s="75"/>
      <c r="BS78" s="75"/>
      <c r="BT78" s="75"/>
      <c r="BU78" s="75"/>
      <c r="BV78" s="75"/>
      <c r="BW78" s="75"/>
      <c r="BX78" s="75"/>
    </row>
    <row r="79">
      <c r="A79" s="76" t="str">
        <f t="shared" si="1"/>
        <v>#REF!</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c r="AK79" s="75"/>
      <c r="AL79" s="75"/>
      <c r="AM79" s="75"/>
      <c r="AN79" s="75"/>
      <c r="AO79" s="75"/>
      <c r="AP79" s="75"/>
      <c r="AQ79" s="75"/>
      <c r="AR79" s="75"/>
      <c r="AS79" s="75"/>
      <c r="AT79" s="75"/>
      <c r="AU79" s="75"/>
      <c r="AV79" s="75"/>
      <c r="AW79" s="75"/>
      <c r="AX79" s="75"/>
      <c r="AY79" s="76" t="str">
        <f t="shared" si="23"/>
        <v>#REF!</v>
      </c>
      <c r="AZ79" s="75"/>
      <c r="BA79" s="76" t="str">
        <f t="shared" si="24"/>
        <v>#REF!</v>
      </c>
      <c r="BB79" s="75"/>
      <c r="BC79" s="76" t="str">
        <f t="shared" si="25"/>
        <v>#REF!</v>
      </c>
      <c r="BD79" s="84"/>
      <c r="BE79" s="75"/>
      <c r="BF79" s="75"/>
      <c r="BG79" s="75"/>
      <c r="BH79" s="75"/>
      <c r="BI79" s="75"/>
      <c r="BJ79" s="75"/>
      <c r="BK79" s="75"/>
      <c r="BL79" s="75"/>
      <c r="BN79" s="75"/>
      <c r="BO79" s="75"/>
      <c r="BP79" s="75"/>
      <c r="BQ79" s="75"/>
      <c r="BR79" s="75"/>
      <c r="BS79" s="75"/>
      <c r="BT79" s="75"/>
      <c r="BU79" s="75"/>
      <c r="BV79" s="75"/>
      <c r="BW79" s="75"/>
      <c r="BX79" s="75"/>
    </row>
    <row r="80">
      <c r="A80" s="76" t="str">
        <f t="shared" si="1"/>
        <v>#REF!</v>
      </c>
      <c r="B80" s="75"/>
      <c r="C80" s="75"/>
      <c r="D80" s="75"/>
      <c r="E80" s="75"/>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5"/>
      <c r="AF80" s="75"/>
      <c r="AG80" s="75"/>
      <c r="AH80" s="75"/>
      <c r="AI80" s="75"/>
      <c r="AJ80" s="75"/>
      <c r="AK80" s="75"/>
      <c r="AL80" s="75"/>
      <c r="AM80" s="75"/>
      <c r="AN80" s="75"/>
      <c r="AO80" s="75"/>
      <c r="AP80" s="75"/>
      <c r="AQ80" s="75"/>
      <c r="AR80" s="75"/>
      <c r="AS80" s="75"/>
      <c r="AT80" s="75"/>
      <c r="AU80" s="75"/>
      <c r="AV80" s="75"/>
      <c r="AW80" s="75"/>
      <c r="AX80" s="75"/>
      <c r="AY80" s="76" t="str">
        <f t="shared" si="23"/>
        <v>#REF!</v>
      </c>
      <c r="AZ80" s="75"/>
      <c r="BA80" s="76" t="str">
        <f t="shared" si="24"/>
        <v>#REF!</v>
      </c>
      <c r="BB80" s="75"/>
      <c r="BC80" s="76" t="str">
        <f t="shared" ref="BC80:BC84" si="71">CONCATENATE('Term Reference Guide (in-progress)'!B3," [",'Term Reference Guide (in-progress)'!C3,"]")</f>
        <v>#REF!</v>
      </c>
      <c r="BD80" s="84"/>
      <c r="BE80" s="75"/>
      <c r="BF80" s="75"/>
      <c r="BG80" s="75"/>
      <c r="BH80" s="75"/>
      <c r="BI80" s="75"/>
      <c r="BJ80" s="75"/>
      <c r="BK80" s="75"/>
      <c r="BL80" s="75"/>
      <c r="BN80" s="75"/>
      <c r="BO80" s="75"/>
      <c r="BP80" s="75"/>
      <c r="BQ80" s="75"/>
      <c r="BR80" s="75"/>
      <c r="BS80" s="75"/>
      <c r="BT80" s="75"/>
      <c r="BU80" s="75"/>
      <c r="BV80" s="75"/>
      <c r="BW80" s="75"/>
      <c r="BX80" s="75"/>
    </row>
    <row r="81">
      <c r="A81" s="76" t="str">
        <f t="shared" si="1"/>
        <v>#REF!</v>
      </c>
      <c r="B81" s="75"/>
      <c r="C81" s="75"/>
      <c r="D81" s="75"/>
      <c r="E81" s="75"/>
      <c r="F81" s="75"/>
      <c r="G81" s="75"/>
      <c r="H81" s="75"/>
      <c r="I81" s="75"/>
      <c r="J81" s="75"/>
      <c r="K81" s="75"/>
      <c r="L81" s="75"/>
      <c r="M81" s="75"/>
      <c r="N81" s="75"/>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6" t="str">
        <f t="shared" si="23"/>
        <v>#REF!</v>
      </c>
      <c r="AZ81" s="75"/>
      <c r="BA81" s="76" t="str">
        <f t="shared" si="24"/>
        <v>#REF!</v>
      </c>
      <c r="BB81" s="75"/>
      <c r="BC81" s="76" t="str">
        <f t="shared" si="71"/>
        <v>#REF!</v>
      </c>
      <c r="BD81" s="84"/>
      <c r="BE81" s="75"/>
      <c r="BF81" s="75"/>
      <c r="BG81" s="75"/>
      <c r="BH81" s="75"/>
      <c r="BI81" s="75"/>
      <c r="BJ81" s="75"/>
      <c r="BK81" s="75"/>
      <c r="BL81" s="75"/>
      <c r="BM81" s="75"/>
      <c r="BN81" s="75"/>
      <c r="BO81" s="75"/>
      <c r="BP81" s="75"/>
      <c r="BQ81" s="75"/>
      <c r="BR81" s="75"/>
      <c r="BS81" s="75"/>
      <c r="BT81" s="75"/>
      <c r="BU81" s="75"/>
      <c r="BV81" s="75"/>
      <c r="BW81" s="75"/>
      <c r="BX81" s="75"/>
    </row>
    <row r="82">
      <c r="A82" s="76" t="str">
        <f t="shared" si="1"/>
        <v>#REF!</v>
      </c>
      <c r="B82" s="75"/>
      <c r="C82" s="75"/>
      <c r="D82" s="75"/>
      <c r="E82" s="75"/>
      <c r="F82" s="75"/>
      <c r="G82" s="75"/>
      <c r="H82" s="75"/>
      <c r="I82" s="75"/>
      <c r="J82" s="75"/>
      <c r="K82" s="75"/>
      <c r="L82" s="75"/>
      <c r="M82" s="75"/>
      <c r="N82" s="75"/>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6" t="str">
        <f t="shared" si="23"/>
        <v>#REF!</v>
      </c>
      <c r="AZ82" s="75"/>
      <c r="BA82" s="76" t="str">
        <f t="shared" si="24"/>
        <v>#REF!</v>
      </c>
      <c r="BB82" s="75"/>
      <c r="BC82" s="76" t="str">
        <f t="shared" si="71"/>
        <v>#REF!</v>
      </c>
      <c r="BD82" s="84"/>
      <c r="BE82" s="75"/>
      <c r="BF82" s="75"/>
      <c r="BG82" s="75"/>
      <c r="BH82" s="75"/>
      <c r="BI82" s="75"/>
      <c r="BJ82" s="75"/>
      <c r="BK82" s="75"/>
      <c r="BL82" s="75"/>
      <c r="BM82" s="75"/>
      <c r="BN82" s="75"/>
      <c r="BO82" s="75"/>
      <c r="BP82" s="75"/>
      <c r="BQ82" s="75"/>
      <c r="BR82" s="75"/>
      <c r="BS82" s="75"/>
      <c r="BT82" s="75"/>
      <c r="BU82" s="75"/>
      <c r="BV82" s="75"/>
      <c r="BW82" s="75"/>
      <c r="BX82" s="75"/>
    </row>
    <row r="83">
      <c r="A83" s="76" t="str">
        <f t="shared" si="1"/>
        <v>#REF!</v>
      </c>
      <c r="B83" s="75"/>
      <c r="C83" s="75"/>
      <c r="D83" s="75"/>
      <c r="E83" s="75"/>
      <c r="F83" s="75"/>
      <c r="G83" s="75"/>
      <c r="H83" s="75"/>
      <c r="I83" s="75"/>
      <c r="J83" s="75"/>
      <c r="K83" s="75"/>
      <c r="L83" s="75"/>
      <c r="M83" s="75"/>
      <c r="N83" s="75"/>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6" t="str">
        <f t="shared" si="23"/>
        <v>#REF!</v>
      </c>
      <c r="AZ83" s="75"/>
      <c r="BA83" s="76" t="str">
        <f t="shared" si="24"/>
        <v>#REF!</v>
      </c>
      <c r="BB83" s="75"/>
      <c r="BC83" s="76" t="str">
        <f t="shared" si="71"/>
        <v>#REF!</v>
      </c>
      <c r="BD83" s="84"/>
      <c r="BE83" s="75"/>
      <c r="BF83" s="75"/>
      <c r="BG83" s="75"/>
      <c r="BH83" s="75"/>
      <c r="BI83" s="75"/>
      <c r="BJ83" s="75"/>
      <c r="BK83" s="75"/>
      <c r="BL83" s="75"/>
      <c r="BM83" s="75"/>
      <c r="BN83" s="75"/>
      <c r="BO83" s="75"/>
      <c r="BP83" s="75"/>
      <c r="BQ83" s="75"/>
      <c r="BR83" s="75"/>
      <c r="BS83" s="75"/>
      <c r="BT83" s="75"/>
      <c r="BU83" s="75"/>
      <c r="BV83" s="75"/>
      <c r="BW83" s="75"/>
      <c r="BX83" s="75"/>
    </row>
    <row r="84">
      <c r="A84" s="76" t="str">
        <f t="shared" si="1"/>
        <v>#REF!</v>
      </c>
      <c r="B84" s="75"/>
      <c r="C84" s="75"/>
      <c r="D84" s="75"/>
      <c r="E84" s="75"/>
      <c r="F84" s="75"/>
      <c r="G84" s="75"/>
      <c r="H84" s="75"/>
      <c r="I84" s="75"/>
      <c r="J84" s="75"/>
      <c r="K84" s="75"/>
      <c r="L84" s="75"/>
      <c r="M84" s="75"/>
      <c r="N84" s="75"/>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6" t="str">
        <f t="shared" si="23"/>
        <v>#REF!</v>
      </c>
      <c r="AZ84" s="75"/>
      <c r="BA84" s="76" t="str">
        <f t="shared" si="24"/>
        <v>#REF!</v>
      </c>
      <c r="BB84" s="75"/>
      <c r="BC84" s="76" t="str">
        <f t="shared" si="71"/>
        <v>#REF!</v>
      </c>
      <c r="BD84" s="84"/>
      <c r="BE84" s="75"/>
      <c r="BF84" s="75"/>
      <c r="BG84" s="75"/>
      <c r="BH84" s="75"/>
      <c r="BI84" s="75"/>
      <c r="BJ84" s="75"/>
      <c r="BK84" s="75"/>
      <c r="BL84" s="75"/>
      <c r="BM84" s="75"/>
      <c r="BN84" s="75"/>
      <c r="BO84" s="75"/>
      <c r="BP84" s="75"/>
      <c r="BQ84" s="75"/>
      <c r="BR84" s="75"/>
      <c r="BS84" s="75"/>
      <c r="BT84" s="75"/>
      <c r="BU84" s="75"/>
      <c r="BV84" s="75"/>
      <c r="BW84" s="75"/>
      <c r="BX84" s="75"/>
    </row>
    <row r="85">
      <c r="A85" s="76" t="str">
        <f t="shared" si="1"/>
        <v>#REF!</v>
      </c>
      <c r="B85" s="75"/>
      <c r="C85" s="75"/>
      <c r="D85" s="75"/>
      <c r="E85" s="75"/>
      <c r="F85" s="75"/>
      <c r="G85" s="75"/>
      <c r="H85" s="75"/>
      <c r="I85" s="75"/>
      <c r="J85" s="75"/>
      <c r="K85" s="75"/>
      <c r="L85" s="75"/>
      <c r="M85" s="75"/>
      <c r="N85" s="75"/>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6" t="str">
        <f t="shared" si="23"/>
        <v>#REF!</v>
      </c>
      <c r="AZ85" s="75"/>
      <c r="BA85" s="76" t="str">
        <f t="shared" si="24"/>
        <v>#REF!</v>
      </c>
      <c r="BB85" s="75"/>
      <c r="BD85" s="84"/>
      <c r="BE85" s="75"/>
      <c r="BF85" s="75"/>
      <c r="BG85" s="75"/>
      <c r="BH85" s="75"/>
      <c r="BI85" s="75"/>
      <c r="BJ85" s="75"/>
      <c r="BK85" s="75"/>
      <c r="BL85" s="75"/>
      <c r="BM85" s="75"/>
      <c r="BN85" s="75"/>
      <c r="BO85" s="75"/>
      <c r="BP85" s="75"/>
      <c r="BQ85" s="75"/>
      <c r="BR85" s="75"/>
      <c r="BS85" s="75"/>
      <c r="BT85" s="75"/>
      <c r="BU85" s="75"/>
      <c r="BV85" s="75"/>
      <c r="BW85" s="75"/>
      <c r="BX85" s="75"/>
    </row>
    <row r="86">
      <c r="A86" s="76" t="str">
        <f t="shared" si="1"/>
        <v>#REF!</v>
      </c>
      <c r="B86" s="76"/>
      <c r="C86" s="75"/>
      <c r="D86" s="75"/>
      <c r="E86" s="75"/>
      <c r="F86" s="75"/>
      <c r="G86" s="75"/>
      <c r="H86" s="75"/>
      <c r="I86" s="75"/>
      <c r="J86" s="75"/>
      <c r="K86" s="75"/>
      <c r="L86" s="75"/>
      <c r="M86" s="75"/>
      <c r="N86" s="75"/>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6" t="str">
        <f t="shared" si="23"/>
        <v>#REF!</v>
      </c>
      <c r="AZ86" s="75"/>
      <c r="BA86" s="76" t="str">
        <f t="shared" si="24"/>
        <v>#REF!</v>
      </c>
      <c r="BB86" s="75"/>
      <c r="BD86" s="84"/>
      <c r="BE86" s="75"/>
      <c r="BF86" s="75"/>
      <c r="BG86" s="75"/>
      <c r="BH86" s="75"/>
      <c r="BI86" s="75"/>
      <c r="BJ86" s="75"/>
      <c r="BK86" s="75"/>
      <c r="BL86" s="75"/>
      <c r="BM86" s="75"/>
      <c r="BN86" s="75"/>
      <c r="BO86" s="75"/>
      <c r="BP86" s="75"/>
      <c r="BQ86" s="75"/>
      <c r="BR86" s="75"/>
      <c r="BS86" s="75"/>
      <c r="BT86" s="75"/>
      <c r="BU86" s="75"/>
      <c r="BV86" s="75"/>
      <c r="BW86" s="75"/>
      <c r="BX86" s="75"/>
    </row>
    <row r="87">
      <c r="A87" s="76" t="str">
        <f t="shared" si="1"/>
        <v>#REF!</v>
      </c>
      <c r="B87" s="75"/>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6" t="str">
        <f t="shared" si="23"/>
        <v>#REF!</v>
      </c>
      <c r="AZ87" s="75"/>
      <c r="BA87" s="76" t="str">
        <f t="shared" si="24"/>
        <v>#REF!</v>
      </c>
      <c r="BB87" s="75"/>
      <c r="BD87" s="85"/>
      <c r="BE87" s="75"/>
      <c r="BF87" s="75"/>
      <c r="BG87" s="75"/>
      <c r="BH87" s="75"/>
      <c r="BI87" s="75"/>
      <c r="BJ87" s="75"/>
      <c r="BK87" s="75"/>
      <c r="BL87" s="75"/>
      <c r="BM87" s="75"/>
      <c r="BN87" s="75"/>
      <c r="BO87" s="75"/>
      <c r="BP87" s="75"/>
      <c r="BQ87" s="75"/>
      <c r="BR87" s="75"/>
      <c r="BS87" s="75"/>
      <c r="BT87" s="75"/>
      <c r="BU87" s="75"/>
      <c r="BV87" s="75"/>
      <c r="BW87" s="75"/>
      <c r="BX87" s="75"/>
    </row>
    <row r="88">
      <c r="A88" s="76" t="str">
        <f t="shared" si="1"/>
        <v>#REF!</v>
      </c>
      <c r="B88" s="75"/>
      <c r="C88" s="75"/>
      <c r="D88" s="75"/>
      <c r="E88" s="75"/>
      <c r="F88" s="75"/>
      <c r="G88" s="75"/>
      <c r="H88" s="75"/>
      <c r="I88" s="75"/>
      <c r="J88" s="75"/>
      <c r="K88" s="75"/>
      <c r="L88" s="75"/>
      <c r="M88" s="75"/>
      <c r="N88" s="75"/>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6" t="str">
        <f t="shared" si="23"/>
        <v>#REF!</v>
      </c>
      <c r="AZ88" s="75"/>
      <c r="BA88" s="76" t="str">
        <f t="shared" si="24"/>
        <v>#REF!</v>
      </c>
      <c r="BB88" s="75"/>
      <c r="BD88" s="83"/>
      <c r="BE88" s="75"/>
      <c r="BF88" s="75"/>
      <c r="BG88" s="75"/>
      <c r="BH88" s="75"/>
      <c r="BI88" s="75"/>
      <c r="BJ88" s="75"/>
      <c r="BK88" s="75"/>
      <c r="BL88" s="75"/>
      <c r="BM88" s="75"/>
      <c r="BN88" s="75"/>
      <c r="BO88" s="75"/>
      <c r="BP88" s="75"/>
      <c r="BQ88" s="75"/>
      <c r="BR88" s="75"/>
      <c r="BS88" s="75"/>
      <c r="BT88" s="75"/>
      <c r="BU88" s="75"/>
      <c r="BV88" s="75"/>
      <c r="BW88" s="75"/>
      <c r="BX88" s="75"/>
    </row>
    <row r="89">
      <c r="A89" s="76" t="str">
        <f t="shared" si="1"/>
        <v>#REF!</v>
      </c>
      <c r="B89" s="75"/>
      <c r="C89" s="75"/>
      <c r="D89" s="75"/>
      <c r="E89" s="75"/>
      <c r="F89" s="75"/>
      <c r="G89" s="75"/>
      <c r="H89" s="75"/>
      <c r="I89" s="75"/>
      <c r="J89" s="75"/>
      <c r="K89" s="75"/>
      <c r="L89" s="75"/>
      <c r="M89" s="75"/>
      <c r="N89" s="75"/>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6" t="str">
        <f t="shared" ref="AY89:AY93" si="72">CONCATENATE('Term Reference Guide (in-progress)'!B3," [",'Term Reference Guide (in-progress)'!C3,"]")</f>
        <v>#REF!</v>
      </c>
      <c r="AZ89" s="75"/>
      <c r="BA89" s="76" t="str">
        <f t="shared" si="24"/>
        <v>#REF!</v>
      </c>
      <c r="BB89" s="75"/>
      <c r="BD89" s="83"/>
      <c r="BE89" s="75"/>
      <c r="BF89" s="75"/>
      <c r="BG89" s="75"/>
      <c r="BH89" s="75"/>
      <c r="BI89" s="75"/>
      <c r="BJ89" s="75"/>
      <c r="BK89" s="75"/>
      <c r="BL89" s="75"/>
      <c r="BM89" s="75"/>
      <c r="BN89" s="75"/>
      <c r="BO89" s="75"/>
      <c r="BP89" s="75"/>
      <c r="BQ89" s="75"/>
      <c r="BR89" s="75"/>
      <c r="BS89" s="75"/>
      <c r="BT89" s="75"/>
      <c r="BU89" s="75"/>
      <c r="BV89" s="75"/>
      <c r="BW89" s="75"/>
      <c r="BX89" s="75"/>
    </row>
    <row r="90">
      <c r="A90" s="76" t="str">
        <f t="shared" si="1"/>
        <v>#REF!</v>
      </c>
      <c r="B90" s="75"/>
      <c r="C90" s="75"/>
      <c r="D90" s="75"/>
      <c r="E90" s="75"/>
      <c r="F90" s="75"/>
      <c r="G90" s="75"/>
      <c r="H90" s="75"/>
      <c r="I90" s="75"/>
      <c r="J90" s="75"/>
      <c r="K90" s="75"/>
      <c r="L90" s="75"/>
      <c r="M90" s="75"/>
      <c r="N90" s="75"/>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6" t="str">
        <f t="shared" si="72"/>
        <v>#REF!</v>
      </c>
      <c r="AZ90" s="75"/>
      <c r="BA90" s="76" t="str">
        <f t="shared" si="24"/>
        <v>#REF!</v>
      </c>
      <c r="BB90" s="76"/>
      <c r="BD90" s="75"/>
      <c r="BE90" s="75"/>
      <c r="BF90" s="75"/>
      <c r="BG90" s="75"/>
      <c r="BH90" s="75"/>
      <c r="BI90" s="75"/>
      <c r="BJ90" s="75"/>
      <c r="BK90" s="75"/>
      <c r="BL90" s="75"/>
      <c r="BM90" s="75"/>
      <c r="BN90" s="75"/>
      <c r="BO90" s="75"/>
      <c r="BP90" s="75"/>
      <c r="BQ90" s="75"/>
      <c r="BR90" s="75"/>
      <c r="BS90" s="75"/>
      <c r="BT90" s="75"/>
      <c r="BU90" s="75"/>
      <c r="BV90" s="75"/>
      <c r="BW90" s="75"/>
      <c r="BX90" s="75"/>
    </row>
    <row r="91">
      <c r="A91" s="76" t="str">
        <f t="shared" si="1"/>
        <v>#REF!</v>
      </c>
      <c r="B91" s="75"/>
      <c r="C91" s="75"/>
      <c r="D91" s="75"/>
      <c r="E91" s="75"/>
      <c r="F91" s="75"/>
      <c r="G91" s="75"/>
      <c r="H91" s="75"/>
      <c r="I91" s="75"/>
      <c r="J91" s="75"/>
      <c r="K91" s="75"/>
      <c r="L91" s="75"/>
      <c r="M91" s="75"/>
      <c r="N91" s="75"/>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6" t="str">
        <f t="shared" si="72"/>
        <v>#REF!</v>
      </c>
      <c r="AZ91" s="75"/>
      <c r="BA91" s="76" t="str">
        <f t="shared" si="24"/>
        <v>#REF!</v>
      </c>
      <c r="BB91" s="75"/>
      <c r="BD91" s="75"/>
      <c r="BE91" s="75"/>
      <c r="BF91" s="75"/>
      <c r="BG91" s="75"/>
      <c r="BH91" s="75"/>
      <c r="BI91" s="75"/>
      <c r="BJ91" s="75"/>
      <c r="BK91" s="75"/>
      <c r="BL91" s="75"/>
      <c r="BM91" s="75"/>
      <c r="BN91" s="75"/>
      <c r="BO91" s="75"/>
      <c r="BP91" s="75"/>
      <c r="BQ91" s="75"/>
      <c r="BR91" s="75"/>
      <c r="BS91" s="75"/>
      <c r="BT91" s="75"/>
      <c r="BU91" s="75"/>
      <c r="BV91" s="75"/>
      <c r="BW91" s="75"/>
      <c r="BX91" s="75"/>
    </row>
    <row r="92">
      <c r="A92" s="76" t="str">
        <f t="shared" si="1"/>
        <v>#REF!</v>
      </c>
      <c r="B92" s="75"/>
      <c r="C92" s="75"/>
      <c r="D92" s="75"/>
      <c r="E92" s="75"/>
      <c r="F92" s="75"/>
      <c r="G92" s="75"/>
      <c r="H92" s="75"/>
      <c r="I92" s="75"/>
      <c r="J92" s="75"/>
      <c r="K92" s="75"/>
      <c r="L92" s="75"/>
      <c r="M92" s="75"/>
      <c r="N92" s="75"/>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6" t="str">
        <f t="shared" si="72"/>
        <v>#REF!</v>
      </c>
      <c r="AZ92" s="75"/>
      <c r="BA92" s="76" t="str">
        <f t="shared" si="24"/>
        <v>#REF!</v>
      </c>
      <c r="BB92" s="75"/>
      <c r="BD92" s="76"/>
      <c r="BE92" s="75"/>
      <c r="BF92" s="75"/>
      <c r="BG92" s="75"/>
      <c r="BH92" s="75"/>
      <c r="BI92" s="75"/>
      <c r="BJ92" s="75"/>
      <c r="BK92" s="75"/>
      <c r="BL92" s="75"/>
      <c r="BM92" s="75"/>
      <c r="BN92" s="75"/>
      <c r="BO92" s="75"/>
      <c r="BP92" s="75"/>
      <c r="BQ92" s="75"/>
      <c r="BR92" s="75"/>
      <c r="BS92" s="75"/>
      <c r="BT92" s="75"/>
      <c r="BU92" s="75"/>
      <c r="BV92" s="75"/>
      <c r="BW92" s="75"/>
      <c r="BX92" s="75"/>
    </row>
    <row r="93">
      <c r="A93" s="76" t="str">
        <f t="shared" si="1"/>
        <v>#REF!</v>
      </c>
      <c r="B93" s="76"/>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6" t="str">
        <f t="shared" si="72"/>
        <v>#REF!</v>
      </c>
      <c r="AZ93" s="75"/>
      <c r="BA93" s="76" t="str">
        <f t="shared" ref="BA93:BA97" si="73">CONCATENATE('Term Reference Guide (in-progress)'!B3," [",'Term Reference Guide (in-progress)'!C3,"]")</f>
        <v>#REF!</v>
      </c>
      <c r="BB93" s="75"/>
      <c r="BD93" s="75"/>
      <c r="BE93" s="75"/>
      <c r="BF93" s="75"/>
      <c r="BG93" s="75"/>
      <c r="BH93" s="75"/>
      <c r="BI93" s="75"/>
      <c r="BJ93" s="75"/>
      <c r="BK93" s="75"/>
      <c r="BL93" s="75"/>
      <c r="BM93" s="75"/>
      <c r="BN93" s="75"/>
      <c r="BO93" s="75"/>
      <c r="BP93" s="75"/>
      <c r="BQ93" s="75"/>
      <c r="BR93" s="75"/>
      <c r="BS93" s="75"/>
      <c r="BT93" s="75"/>
      <c r="BU93" s="75"/>
      <c r="BV93" s="75"/>
      <c r="BW93" s="75"/>
      <c r="BX93" s="75"/>
    </row>
    <row r="94">
      <c r="A94" s="76" t="str">
        <f t="shared" si="1"/>
        <v>#REF!</v>
      </c>
      <c r="B94" s="75"/>
      <c r="C94" s="75"/>
      <c r="D94" s="75"/>
      <c r="E94" s="75"/>
      <c r="F94" s="75"/>
      <c r="G94" s="75"/>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75"/>
      <c r="AN94" s="75"/>
      <c r="AO94" s="75"/>
      <c r="AP94" s="75"/>
      <c r="AQ94" s="75"/>
      <c r="AR94" s="75"/>
      <c r="AS94" s="75"/>
      <c r="AT94" s="75"/>
      <c r="AU94" s="75"/>
      <c r="AV94" s="75"/>
      <c r="AW94" s="75"/>
      <c r="AX94" s="75"/>
      <c r="AZ94" s="75"/>
      <c r="BA94" s="76" t="str">
        <f t="shared" si="73"/>
        <v>#REF!</v>
      </c>
      <c r="BB94" s="75"/>
      <c r="BD94" s="75"/>
      <c r="BE94" s="75"/>
      <c r="BF94" s="75"/>
      <c r="BG94" s="75"/>
      <c r="BH94" s="75"/>
      <c r="BI94" s="75"/>
      <c r="BJ94" s="75"/>
      <c r="BK94" s="75"/>
      <c r="BL94" s="75"/>
      <c r="BM94" s="75"/>
      <c r="BN94" s="75"/>
      <c r="BO94" s="75"/>
      <c r="BP94" s="75"/>
      <c r="BQ94" s="75"/>
      <c r="BR94" s="75"/>
      <c r="BS94" s="75"/>
      <c r="BT94" s="75"/>
      <c r="BU94" s="75"/>
      <c r="BV94" s="75"/>
      <c r="BW94" s="75"/>
      <c r="BX94" s="75"/>
    </row>
    <row r="95">
      <c r="A95" s="76" t="str">
        <f t="shared" si="1"/>
        <v>#REF!</v>
      </c>
      <c r="B95" s="75"/>
      <c r="C95" s="75"/>
      <c r="D95" s="75"/>
      <c r="E95" s="75"/>
      <c r="F95" s="75"/>
      <c r="G95" s="75"/>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75"/>
      <c r="AI95" s="75"/>
      <c r="AJ95" s="75"/>
      <c r="AK95" s="75"/>
      <c r="AL95" s="75"/>
      <c r="AM95" s="75"/>
      <c r="AN95" s="75"/>
      <c r="AO95" s="75"/>
      <c r="AP95" s="75"/>
      <c r="AQ95" s="75"/>
      <c r="AR95" s="75"/>
      <c r="AS95" s="75"/>
      <c r="AT95" s="75"/>
      <c r="AU95" s="75"/>
      <c r="AV95" s="75"/>
      <c r="AW95" s="75"/>
      <c r="AX95" s="75"/>
      <c r="AY95" s="75"/>
      <c r="AZ95" s="75"/>
      <c r="BA95" s="76" t="str">
        <f t="shared" si="73"/>
        <v>#REF!</v>
      </c>
      <c r="BB95" s="75"/>
      <c r="BC95" s="75"/>
      <c r="BD95" s="75"/>
      <c r="BE95" s="75"/>
      <c r="BF95" s="75"/>
      <c r="BG95" s="75"/>
      <c r="BH95" s="75"/>
      <c r="BI95" s="75"/>
      <c r="BJ95" s="75"/>
      <c r="BK95" s="75"/>
      <c r="BL95" s="75"/>
      <c r="BM95" s="75"/>
      <c r="BN95" s="75"/>
      <c r="BO95" s="75"/>
      <c r="BP95" s="75"/>
      <c r="BQ95" s="75"/>
      <c r="BR95" s="75"/>
      <c r="BS95" s="75"/>
      <c r="BT95" s="75"/>
      <c r="BU95" s="75"/>
      <c r="BV95" s="75"/>
      <c r="BW95" s="75"/>
      <c r="BX95" s="75"/>
    </row>
    <row r="96">
      <c r="A96" s="76" t="str">
        <f t="shared" si="1"/>
        <v>#REF!</v>
      </c>
      <c r="B96" s="75"/>
      <c r="C96" s="75"/>
      <c r="D96" s="75"/>
      <c r="E96" s="75"/>
      <c r="F96" s="75"/>
      <c r="G96" s="75"/>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6" t="str">
        <f t="shared" si="73"/>
        <v>#REF!</v>
      </c>
      <c r="BB96" s="75"/>
      <c r="BC96" s="75"/>
      <c r="BD96" s="75"/>
      <c r="BE96" s="75"/>
      <c r="BF96" s="75"/>
      <c r="BG96" s="75"/>
      <c r="BH96" s="75"/>
      <c r="BI96" s="75"/>
      <c r="BJ96" s="75"/>
      <c r="BK96" s="75"/>
      <c r="BL96" s="75"/>
      <c r="BM96" s="75"/>
      <c r="BN96" s="75"/>
      <c r="BO96" s="75"/>
      <c r="BP96" s="75"/>
      <c r="BQ96" s="75"/>
      <c r="BR96" s="75"/>
      <c r="BS96" s="75"/>
      <c r="BT96" s="75"/>
      <c r="BU96" s="75"/>
      <c r="BV96" s="75"/>
      <c r="BW96" s="75"/>
      <c r="BX96" s="75"/>
    </row>
    <row r="97">
      <c r="A97" s="76" t="str">
        <f t="shared" si="1"/>
        <v>#REF!</v>
      </c>
      <c r="B97" s="75"/>
      <c r="C97" s="75"/>
      <c r="D97" s="75"/>
      <c r="E97" s="75"/>
      <c r="F97" s="75"/>
      <c r="G97" s="75"/>
      <c r="H97" s="75"/>
      <c r="I97" s="75"/>
      <c r="J97" s="75"/>
      <c r="K97" s="75"/>
      <c r="L97" s="75"/>
      <c r="M97" s="75"/>
      <c r="N97" s="75"/>
      <c r="O97" s="75"/>
      <c r="P97" s="75"/>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6" t="str">
        <f t="shared" si="73"/>
        <v>#REF!</v>
      </c>
      <c r="BB97" s="75"/>
      <c r="BC97" s="75"/>
      <c r="BD97" s="75"/>
      <c r="BE97" s="75"/>
      <c r="BF97" s="75"/>
      <c r="BG97" s="75"/>
      <c r="BH97" s="75"/>
      <c r="BI97" s="75"/>
      <c r="BJ97" s="75"/>
      <c r="BK97" s="75"/>
      <c r="BL97" s="75"/>
      <c r="BM97" s="75"/>
      <c r="BN97" s="75"/>
      <c r="BO97" s="75"/>
      <c r="BP97" s="75"/>
      <c r="BQ97" s="75"/>
      <c r="BR97" s="75"/>
      <c r="BS97" s="75"/>
      <c r="BT97" s="75"/>
      <c r="BU97" s="75"/>
      <c r="BV97" s="75"/>
      <c r="BW97" s="75"/>
      <c r="BX97" s="75"/>
    </row>
    <row r="98">
      <c r="A98" s="76" t="str">
        <f t="shared" si="1"/>
        <v>#REF!</v>
      </c>
      <c r="B98" s="75"/>
      <c r="C98" s="75"/>
      <c r="D98" s="75"/>
      <c r="E98" s="75"/>
      <c r="F98" s="75"/>
      <c r="G98" s="75"/>
      <c r="H98" s="75"/>
      <c r="I98" s="75"/>
      <c r="J98" s="75"/>
      <c r="K98" s="75"/>
      <c r="L98" s="75"/>
      <c r="M98" s="75"/>
      <c r="N98" s="75"/>
      <c r="O98" s="75"/>
      <c r="P98" s="75"/>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BD98" s="75"/>
      <c r="BE98" s="75"/>
      <c r="BF98" s="75"/>
      <c r="BG98" s="75"/>
      <c r="BH98" s="75"/>
      <c r="BI98" s="75"/>
      <c r="BJ98" s="75"/>
      <c r="BK98" s="75"/>
      <c r="BL98" s="75"/>
      <c r="BM98" s="75"/>
      <c r="BN98" s="75"/>
      <c r="BO98" s="75"/>
      <c r="BP98" s="75"/>
      <c r="BQ98" s="75"/>
      <c r="BR98" s="75"/>
      <c r="BS98" s="75"/>
      <c r="BT98" s="75"/>
      <c r="BU98" s="75"/>
      <c r="BV98" s="75"/>
      <c r="BW98" s="75"/>
      <c r="BX98" s="75"/>
    </row>
    <row r="99">
      <c r="A99" s="76" t="str">
        <f t="shared" si="1"/>
        <v>#REF!</v>
      </c>
      <c r="B99" s="75"/>
      <c r="C99" s="75"/>
      <c r="D99" s="75"/>
      <c r="E99" s="75"/>
      <c r="F99" s="75"/>
      <c r="G99" s="75"/>
      <c r="H99" s="75"/>
      <c r="I99" s="75"/>
      <c r="J99" s="75"/>
      <c r="K99" s="75"/>
      <c r="L99" s="75"/>
      <c r="M99" s="75"/>
      <c r="N99" s="75"/>
      <c r="O99" s="75"/>
      <c r="P99" s="75"/>
      <c r="Q99" s="75"/>
      <c r="R99" s="75"/>
      <c r="S99" s="75"/>
      <c r="T99" s="75"/>
      <c r="U99" s="75"/>
      <c r="V99" s="75"/>
      <c r="W99" s="75"/>
      <c r="X99" s="75"/>
      <c r="Y99" s="75"/>
      <c r="Z99" s="75"/>
      <c r="AA99" s="75"/>
      <c r="AB99" s="75"/>
      <c r="AC99" s="75"/>
      <c r="AD99" s="75"/>
      <c r="AE99" s="75"/>
      <c r="AF99" s="75"/>
      <c r="AG99" s="75"/>
      <c r="AH99" s="75"/>
      <c r="AI99" s="75"/>
      <c r="AJ99" s="75"/>
      <c r="AK99" s="75"/>
      <c r="AL99" s="75"/>
      <c r="AM99" s="75"/>
      <c r="AN99" s="75"/>
      <c r="AO99" s="75"/>
      <c r="AP99" s="75"/>
      <c r="AQ99" s="75"/>
      <c r="AR99" s="75"/>
      <c r="AS99" s="75"/>
      <c r="AT99" s="75"/>
      <c r="AU99" s="75"/>
      <c r="AV99" s="75"/>
      <c r="AW99" s="75"/>
      <c r="AX99" s="75"/>
      <c r="BD99" s="75"/>
      <c r="BE99" s="75"/>
      <c r="BF99" s="75"/>
      <c r="BG99" s="75"/>
      <c r="BH99" s="75"/>
      <c r="BI99" s="75"/>
      <c r="BJ99" s="75"/>
      <c r="BK99" s="75"/>
      <c r="BL99" s="75"/>
      <c r="BM99" s="75"/>
      <c r="BN99" s="75"/>
      <c r="BO99" s="75"/>
      <c r="BP99" s="75"/>
      <c r="BQ99" s="75"/>
      <c r="BR99" s="75"/>
      <c r="BS99" s="75"/>
      <c r="BT99" s="75"/>
      <c r="BU99" s="75"/>
      <c r="BV99" s="75"/>
      <c r="BW99" s="75"/>
      <c r="BX99" s="75"/>
    </row>
    <row r="100">
      <c r="A100" s="76" t="str">
        <f t="shared" si="1"/>
        <v>#REF!</v>
      </c>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5"/>
      <c r="AO100" s="75"/>
      <c r="AP100" s="75"/>
      <c r="AQ100" s="75"/>
      <c r="AR100" s="75"/>
      <c r="AS100" s="75"/>
      <c r="AT100" s="75"/>
      <c r="AU100" s="75"/>
      <c r="AV100" s="75"/>
      <c r="AW100" s="75"/>
      <c r="AX100" s="75"/>
      <c r="BD100" s="75"/>
      <c r="BE100" s="75"/>
      <c r="BF100" s="75"/>
      <c r="BG100" s="75"/>
      <c r="BH100" s="75"/>
      <c r="BI100" s="75"/>
      <c r="BJ100" s="75"/>
      <c r="BK100" s="75"/>
      <c r="BL100" s="75"/>
      <c r="BM100" s="75"/>
      <c r="BN100" s="75"/>
      <c r="BO100" s="75"/>
      <c r="BP100" s="75"/>
      <c r="BQ100" s="75"/>
      <c r="BR100" s="75"/>
      <c r="BS100" s="75"/>
      <c r="BT100" s="75"/>
      <c r="BU100" s="75"/>
      <c r="BV100" s="75"/>
      <c r="BW100" s="75"/>
      <c r="BX100" s="75"/>
    </row>
    <row r="101">
      <c r="A101" s="76" t="str">
        <f t="shared" si="1"/>
        <v>#REF!</v>
      </c>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c r="AA101" s="75"/>
      <c r="AB101" s="75"/>
      <c r="AC101" s="75"/>
      <c r="AD101" s="75"/>
      <c r="AE101" s="75"/>
      <c r="AF101" s="75"/>
      <c r="AG101" s="75"/>
      <c r="AH101" s="75"/>
      <c r="AI101" s="75"/>
      <c r="AJ101" s="75"/>
      <c r="AK101" s="75"/>
      <c r="AL101" s="75"/>
      <c r="AM101" s="75"/>
      <c r="AN101" s="75"/>
      <c r="AO101" s="75"/>
      <c r="AP101" s="75"/>
      <c r="AQ101" s="75"/>
      <c r="AR101" s="75"/>
      <c r="AS101" s="75"/>
      <c r="AT101" s="75"/>
      <c r="AU101" s="75"/>
      <c r="AV101" s="75"/>
      <c r="AW101" s="75"/>
      <c r="AX101" s="75"/>
      <c r="BD101" s="75"/>
      <c r="BE101" s="75"/>
      <c r="BF101" s="75"/>
      <c r="BG101" s="75"/>
      <c r="BH101" s="75"/>
      <c r="BI101" s="75"/>
      <c r="BJ101" s="75"/>
      <c r="BK101" s="75"/>
      <c r="BL101" s="75"/>
      <c r="BM101" s="75"/>
      <c r="BN101" s="75"/>
      <c r="BO101" s="75"/>
      <c r="BP101" s="75"/>
      <c r="BQ101" s="75"/>
      <c r="BR101" s="75"/>
      <c r="BS101" s="75"/>
      <c r="BT101" s="75"/>
      <c r="BU101" s="75"/>
      <c r="BV101" s="75"/>
      <c r="BW101" s="75"/>
      <c r="BX101" s="75"/>
    </row>
    <row r="102">
      <c r="A102" s="76" t="str">
        <f t="shared" si="1"/>
        <v>#REF!</v>
      </c>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c r="AA102" s="75"/>
      <c r="AB102" s="75"/>
      <c r="AC102" s="75"/>
      <c r="AD102" s="75"/>
      <c r="AE102" s="75"/>
      <c r="AF102" s="75"/>
      <c r="AG102" s="75"/>
      <c r="AH102" s="75"/>
      <c r="AI102" s="75"/>
      <c r="AJ102" s="75"/>
      <c r="AK102" s="75"/>
      <c r="AL102" s="75"/>
      <c r="AM102" s="75"/>
      <c r="AN102" s="75"/>
      <c r="AO102" s="75"/>
      <c r="AP102" s="75"/>
      <c r="AQ102" s="75"/>
      <c r="AR102" s="75"/>
      <c r="AS102" s="75"/>
      <c r="AT102" s="75"/>
      <c r="AU102" s="75"/>
      <c r="AV102" s="75"/>
      <c r="AW102" s="75"/>
      <c r="AX102" s="75"/>
      <c r="BD102" s="75"/>
      <c r="BE102" s="75"/>
      <c r="BF102" s="75"/>
      <c r="BG102" s="75"/>
      <c r="BH102" s="75"/>
      <c r="BI102" s="75"/>
      <c r="BJ102" s="75"/>
      <c r="BK102" s="75"/>
      <c r="BL102" s="75"/>
      <c r="BM102" s="75"/>
      <c r="BN102" s="75"/>
      <c r="BO102" s="75"/>
      <c r="BP102" s="75"/>
      <c r="BQ102" s="75"/>
      <c r="BR102" s="75"/>
      <c r="BS102" s="75"/>
      <c r="BT102" s="75"/>
      <c r="BU102" s="75"/>
      <c r="BV102" s="75"/>
      <c r="BW102" s="75"/>
      <c r="BX102" s="75"/>
    </row>
    <row r="103">
      <c r="A103" s="76" t="str">
        <f t="shared" si="1"/>
        <v>#REF!</v>
      </c>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c r="AA103" s="75"/>
      <c r="AB103" s="75"/>
      <c r="AC103" s="75"/>
      <c r="AD103" s="75"/>
      <c r="AE103" s="75"/>
      <c r="AF103" s="75"/>
      <c r="AG103" s="75"/>
      <c r="AH103" s="75"/>
      <c r="AI103" s="75"/>
      <c r="AJ103" s="75"/>
      <c r="AK103" s="75"/>
      <c r="AL103" s="75"/>
      <c r="AM103" s="75"/>
      <c r="AN103" s="75"/>
      <c r="AO103" s="75"/>
      <c r="AP103" s="75"/>
      <c r="AQ103" s="75"/>
      <c r="AR103" s="75"/>
      <c r="AS103" s="75"/>
      <c r="AT103" s="75"/>
      <c r="AU103" s="75"/>
      <c r="AV103" s="75"/>
      <c r="AW103" s="75"/>
      <c r="AX103" s="75"/>
      <c r="BD103" s="75"/>
      <c r="BE103" s="75"/>
      <c r="BF103" s="75"/>
      <c r="BG103" s="75"/>
      <c r="BH103" s="75"/>
      <c r="BI103" s="75"/>
      <c r="BJ103" s="75"/>
      <c r="BK103" s="75"/>
      <c r="BL103" s="75"/>
      <c r="BM103" s="75"/>
      <c r="BN103" s="75"/>
      <c r="BO103" s="75"/>
      <c r="BP103" s="75"/>
      <c r="BQ103" s="75"/>
      <c r="BR103" s="75"/>
      <c r="BS103" s="75"/>
      <c r="BT103" s="75"/>
      <c r="BU103" s="75"/>
      <c r="BV103" s="75"/>
      <c r="BW103" s="75"/>
      <c r="BX103" s="75"/>
    </row>
    <row r="104">
      <c r="A104" s="76" t="str">
        <f t="shared" si="1"/>
        <v>#REF!</v>
      </c>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c r="AA104" s="75"/>
      <c r="AB104" s="75"/>
      <c r="AC104" s="75"/>
      <c r="AD104" s="75"/>
      <c r="AE104" s="75"/>
      <c r="AF104" s="75"/>
      <c r="AG104" s="75"/>
      <c r="AH104" s="75"/>
      <c r="AI104" s="75"/>
      <c r="AJ104" s="75"/>
      <c r="AK104" s="75"/>
      <c r="AL104" s="75"/>
      <c r="AM104" s="75"/>
      <c r="AN104" s="75"/>
      <c r="AO104" s="75"/>
      <c r="AP104" s="75"/>
      <c r="AQ104" s="75"/>
      <c r="AR104" s="75"/>
      <c r="AS104" s="75"/>
      <c r="AT104" s="75"/>
      <c r="AU104" s="75"/>
      <c r="AV104" s="75"/>
      <c r="AW104" s="75"/>
      <c r="AX104" s="75"/>
      <c r="BD104" s="75"/>
      <c r="BE104" s="75"/>
      <c r="BF104" s="75"/>
      <c r="BG104" s="75"/>
      <c r="BH104" s="75"/>
      <c r="BI104" s="75"/>
      <c r="BJ104" s="75"/>
      <c r="BK104" s="75"/>
      <c r="BL104" s="75"/>
      <c r="BM104" s="75"/>
      <c r="BN104" s="75"/>
      <c r="BO104" s="75"/>
      <c r="BP104" s="75"/>
      <c r="BQ104" s="75"/>
      <c r="BR104" s="75"/>
      <c r="BS104" s="75"/>
      <c r="BT104" s="75"/>
      <c r="BU104" s="75"/>
      <c r="BV104" s="75"/>
      <c r="BW104" s="75"/>
      <c r="BX104" s="75"/>
    </row>
    <row r="105">
      <c r="A105" s="76" t="str">
        <f t="shared" si="1"/>
        <v>#REF!</v>
      </c>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c r="AA105" s="75"/>
      <c r="AB105" s="75"/>
      <c r="AC105" s="75"/>
      <c r="AD105" s="75"/>
      <c r="AE105" s="75"/>
      <c r="AF105" s="75"/>
      <c r="AG105" s="75"/>
      <c r="AH105" s="75"/>
      <c r="AI105" s="75"/>
      <c r="AJ105" s="75"/>
      <c r="AK105" s="75"/>
      <c r="AL105" s="75"/>
      <c r="AM105" s="75"/>
      <c r="AN105" s="75"/>
      <c r="AO105" s="75"/>
      <c r="AP105" s="75"/>
      <c r="AQ105" s="75"/>
      <c r="AR105" s="75"/>
      <c r="AS105" s="75"/>
      <c r="AT105" s="75"/>
      <c r="AU105" s="75"/>
      <c r="AV105" s="75"/>
      <c r="AW105" s="75"/>
      <c r="AX105" s="75"/>
      <c r="BD105" s="75"/>
      <c r="BE105" s="75"/>
      <c r="BF105" s="75"/>
      <c r="BG105" s="75"/>
      <c r="BH105" s="75"/>
      <c r="BI105" s="75"/>
      <c r="BJ105" s="75"/>
      <c r="BK105" s="75"/>
      <c r="BL105" s="75"/>
      <c r="BM105" s="75"/>
      <c r="BN105" s="75"/>
      <c r="BO105" s="75"/>
      <c r="BP105" s="75"/>
      <c r="BQ105" s="75"/>
      <c r="BR105" s="75"/>
      <c r="BS105" s="75"/>
      <c r="BT105" s="75"/>
      <c r="BU105" s="75"/>
      <c r="BV105" s="75"/>
      <c r="BW105" s="75"/>
      <c r="BX105" s="75"/>
    </row>
    <row r="106">
      <c r="A106" s="76" t="str">
        <f t="shared" si="1"/>
        <v>#REF!</v>
      </c>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c r="AA106" s="75"/>
      <c r="AB106" s="75"/>
      <c r="AC106" s="75"/>
      <c r="AD106" s="75"/>
      <c r="AE106" s="75"/>
      <c r="AF106" s="75"/>
      <c r="AG106" s="75"/>
      <c r="AH106" s="75"/>
      <c r="AI106" s="75"/>
      <c r="AJ106" s="75"/>
      <c r="AK106" s="75"/>
      <c r="AL106" s="75"/>
      <c r="AM106" s="75"/>
      <c r="AN106" s="75"/>
      <c r="AO106" s="75"/>
      <c r="AP106" s="75"/>
      <c r="AQ106" s="75"/>
      <c r="AR106" s="75"/>
      <c r="AS106" s="75"/>
      <c r="AT106" s="75"/>
      <c r="AU106" s="75"/>
      <c r="AV106" s="75"/>
      <c r="AW106" s="75"/>
      <c r="AX106" s="75"/>
      <c r="AY106" s="75"/>
      <c r="AZ106" s="75"/>
      <c r="BC106" s="75"/>
      <c r="BD106" s="75"/>
      <c r="BE106" s="75"/>
      <c r="BF106" s="75"/>
      <c r="BG106" s="75"/>
      <c r="BH106" s="75"/>
      <c r="BI106" s="75"/>
      <c r="BJ106" s="75"/>
      <c r="BK106" s="75"/>
      <c r="BL106" s="75"/>
      <c r="BM106" s="75"/>
      <c r="BN106" s="75"/>
      <c r="BO106" s="75"/>
      <c r="BP106" s="75"/>
      <c r="BQ106" s="75"/>
      <c r="BR106" s="75"/>
      <c r="BS106" s="75"/>
      <c r="BT106" s="75"/>
      <c r="BU106" s="75"/>
      <c r="BV106" s="75"/>
      <c r="BW106" s="75"/>
      <c r="BX106" s="75"/>
    </row>
    <row r="107">
      <c r="A107" s="76" t="str">
        <f t="shared" si="1"/>
        <v>#REF!</v>
      </c>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c r="AA107" s="75"/>
      <c r="AB107" s="75"/>
      <c r="AC107" s="75"/>
      <c r="AD107" s="75"/>
      <c r="AE107" s="75"/>
      <c r="AF107" s="75"/>
      <c r="AG107" s="75"/>
      <c r="AH107" s="75"/>
      <c r="AI107" s="75"/>
      <c r="AJ107" s="75"/>
      <c r="AK107" s="75"/>
      <c r="AL107" s="75"/>
      <c r="AM107" s="75"/>
      <c r="AN107" s="75"/>
      <c r="AO107" s="75"/>
      <c r="AP107" s="75"/>
      <c r="AQ107" s="75"/>
      <c r="AR107" s="75"/>
      <c r="AS107" s="75"/>
      <c r="AT107" s="75"/>
      <c r="AU107" s="75"/>
      <c r="AV107" s="75"/>
      <c r="AW107" s="75"/>
      <c r="AX107" s="75"/>
      <c r="AY107" s="75"/>
      <c r="AZ107" s="75"/>
      <c r="BA107" s="75"/>
      <c r="BB107" s="75"/>
      <c r="BC107" s="75"/>
      <c r="BD107" s="75"/>
      <c r="BE107" s="75"/>
      <c r="BF107" s="75"/>
      <c r="BG107" s="75"/>
      <c r="BH107" s="75"/>
      <c r="BI107" s="75"/>
      <c r="BJ107" s="75"/>
      <c r="BK107" s="75"/>
      <c r="BL107" s="75"/>
      <c r="BM107" s="75"/>
      <c r="BN107" s="75"/>
      <c r="BO107" s="75"/>
      <c r="BP107" s="75"/>
      <c r="BQ107" s="75"/>
      <c r="BR107" s="75"/>
      <c r="BS107" s="75"/>
      <c r="BT107" s="75"/>
      <c r="BU107" s="75"/>
      <c r="BV107" s="75"/>
      <c r="BW107" s="75"/>
      <c r="BX107" s="75"/>
    </row>
    <row r="108">
      <c r="A108" s="76" t="str">
        <f t="shared" si="1"/>
        <v>#REF!</v>
      </c>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c r="AA108" s="75"/>
      <c r="AB108" s="75"/>
      <c r="AC108" s="75"/>
      <c r="AD108" s="75"/>
      <c r="AE108" s="75"/>
      <c r="AF108" s="75"/>
      <c r="AG108" s="75"/>
      <c r="AH108" s="75"/>
      <c r="AI108" s="75"/>
      <c r="AJ108" s="75"/>
      <c r="AK108" s="75"/>
      <c r="AL108" s="75"/>
      <c r="AM108" s="75"/>
      <c r="AN108" s="75"/>
      <c r="AO108" s="75"/>
      <c r="AP108" s="75"/>
      <c r="AQ108" s="75"/>
      <c r="AR108" s="75"/>
      <c r="AS108" s="75"/>
      <c r="AT108" s="75"/>
      <c r="AU108" s="75"/>
      <c r="AV108" s="75"/>
      <c r="AW108" s="75"/>
      <c r="AX108" s="75"/>
      <c r="AY108" s="75"/>
      <c r="AZ108" s="75"/>
      <c r="BA108" s="75"/>
      <c r="BB108" s="75"/>
      <c r="BC108" s="75"/>
      <c r="BD108" s="75"/>
      <c r="BE108" s="75"/>
      <c r="BF108" s="75"/>
      <c r="BG108" s="75"/>
      <c r="BH108" s="75"/>
      <c r="BI108" s="75"/>
      <c r="BJ108" s="75"/>
      <c r="BK108" s="75"/>
      <c r="BL108" s="75"/>
      <c r="BM108" s="75"/>
      <c r="BN108" s="75"/>
      <c r="BO108" s="75"/>
      <c r="BP108" s="75"/>
      <c r="BQ108" s="75"/>
      <c r="BR108" s="75"/>
      <c r="BS108" s="75"/>
      <c r="BT108" s="75"/>
      <c r="BU108" s="75"/>
      <c r="BV108" s="75"/>
      <c r="BW108" s="75"/>
      <c r="BX108" s="75"/>
    </row>
    <row r="109">
      <c r="A109" s="76" t="str">
        <f t="shared" si="1"/>
        <v>#REF!</v>
      </c>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c r="AA109" s="75"/>
      <c r="AB109" s="75"/>
      <c r="AC109" s="75"/>
      <c r="AD109" s="75"/>
      <c r="AE109" s="75"/>
      <c r="AF109" s="75"/>
      <c r="AG109" s="75"/>
      <c r="AH109" s="75"/>
      <c r="AI109" s="75"/>
      <c r="AJ109" s="75"/>
      <c r="AK109" s="75"/>
      <c r="AL109" s="75"/>
      <c r="AM109" s="75"/>
      <c r="AN109" s="75"/>
      <c r="AO109" s="75"/>
      <c r="AP109" s="75"/>
      <c r="AQ109" s="75"/>
      <c r="AR109" s="75"/>
      <c r="AS109" s="75"/>
      <c r="AT109" s="75"/>
      <c r="AU109" s="75"/>
      <c r="AV109" s="75"/>
      <c r="AW109" s="75"/>
      <c r="AX109" s="75"/>
      <c r="AY109" s="75"/>
      <c r="AZ109" s="75"/>
      <c r="BA109" s="75"/>
      <c r="BB109" s="75"/>
      <c r="BC109" s="75"/>
      <c r="BD109" s="75"/>
      <c r="BE109" s="75"/>
      <c r="BF109" s="75"/>
      <c r="BG109" s="75"/>
      <c r="BH109" s="75"/>
      <c r="BI109" s="75"/>
      <c r="BJ109" s="75"/>
      <c r="BK109" s="75"/>
      <c r="BL109" s="75"/>
      <c r="BM109" s="75"/>
      <c r="BN109" s="75"/>
      <c r="BO109" s="75"/>
      <c r="BP109" s="75"/>
      <c r="BQ109" s="75"/>
      <c r="BR109" s="75"/>
      <c r="BS109" s="75"/>
      <c r="BT109" s="75"/>
      <c r="BU109" s="75"/>
      <c r="BV109" s="75"/>
      <c r="BW109" s="75"/>
      <c r="BX109" s="75"/>
    </row>
    <row r="110">
      <c r="A110" s="76" t="str">
        <f t="shared" si="1"/>
        <v>#REF!</v>
      </c>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c r="AA110" s="75"/>
      <c r="AB110" s="75"/>
      <c r="AC110" s="75"/>
      <c r="AD110" s="75"/>
      <c r="AE110" s="75"/>
      <c r="AF110" s="75"/>
      <c r="AG110" s="75"/>
      <c r="AH110" s="75"/>
      <c r="AI110" s="75"/>
      <c r="AJ110" s="75"/>
      <c r="AK110" s="75"/>
      <c r="AL110" s="75"/>
      <c r="AM110" s="75"/>
      <c r="AN110" s="75"/>
      <c r="AO110" s="75"/>
      <c r="AP110" s="75"/>
      <c r="AQ110" s="75"/>
      <c r="AR110" s="75"/>
      <c r="AS110" s="75"/>
      <c r="AT110" s="75"/>
      <c r="AU110" s="75"/>
      <c r="AV110" s="75"/>
      <c r="AW110" s="75"/>
      <c r="AX110" s="75"/>
      <c r="AY110" s="75"/>
      <c r="AZ110" s="75"/>
      <c r="BA110" s="75"/>
      <c r="BB110" s="75"/>
      <c r="BC110" s="75"/>
      <c r="BD110" s="75"/>
      <c r="BE110" s="75"/>
      <c r="BF110" s="75"/>
      <c r="BG110" s="75"/>
      <c r="BH110" s="75"/>
      <c r="BI110" s="75"/>
      <c r="BJ110" s="75"/>
      <c r="BK110" s="75"/>
      <c r="BL110" s="75"/>
      <c r="BM110" s="75"/>
      <c r="BN110" s="75"/>
      <c r="BO110" s="75"/>
      <c r="BP110" s="75"/>
      <c r="BQ110" s="75"/>
      <c r="BR110" s="75"/>
      <c r="BS110" s="75"/>
      <c r="BT110" s="75"/>
      <c r="BU110" s="75"/>
      <c r="BV110" s="75"/>
      <c r="BW110" s="75"/>
      <c r="BX110" s="75"/>
    </row>
    <row r="111">
      <c r="A111" s="76" t="str">
        <f t="shared" si="1"/>
        <v>#REF!</v>
      </c>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c r="AA111" s="75"/>
      <c r="AB111" s="75"/>
      <c r="AC111" s="75"/>
      <c r="AD111" s="75"/>
      <c r="AE111" s="75"/>
      <c r="AF111" s="75"/>
      <c r="AG111" s="75"/>
      <c r="AH111" s="75"/>
      <c r="AI111" s="75"/>
      <c r="AJ111" s="75"/>
      <c r="AK111" s="75"/>
      <c r="AL111" s="75"/>
      <c r="AM111" s="75"/>
      <c r="AN111" s="75"/>
      <c r="AO111" s="75"/>
      <c r="AP111" s="75"/>
      <c r="AQ111" s="75"/>
      <c r="AR111" s="75"/>
      <c r="AS111" s="75"/>
      <c r="AT111" s="75"/>
      <c r="AU111" s="75"/>
      <c r="AV111" s="75"/>
      <c r="AW111" s="75"/>
      <c r="AX111" s="75"/>
      <c r="AY111" s="75"/>
      <c r="AZ111" s="75"/>
      <c r="BA111" s="75"/>
      <c r="BB111" s="75"/>
      <c r="BC111" s="75"/>
      <c r="BD111" s="75"/>
      <c r="BE111" s="75"/>
      <c r="BF111" s="75"/>
      <c r="BG111" s="75"/>
      <c r="BH111" s="75"/>
      <c r="BI111" s="75"/>
      <c r="BJ111" s="75"/>
      <c r="BK111" s="75"/>
      <c r="BL111" s="75"/>
      <c r="BM111" s="75"/>
      <c r="BN111" s="75"/>
      <c r="BO111" s="75"/>
      <c r="BP111" s="75"/>
      <c r="BQ111" s="75"/>
      <c r="BR111" s="75"/>
      <c r="BS111" s="75"/>
      <c r="BT111" s="75"/>
      <c r="BU111" s="75"/>
      <c r="BV111" s="75"/>
      <c r="BW111" s="75"/>
      <c r="BX111" s="75"/>
    </row>
    <row r="112">
      <c r="A112" s="76" t="str">
        <f t="shared" si="1"/>
        <v>#REF!</v>
      </c>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c r="AA112" s="75"/>
      <c r="AB112" s="75"/>
      <c r="AC112" s="75"/>
      <c r="AD112" s="75"/>
      <c r="AE112" s="75"/>
      <c r="AF112" s="75"/>
      <c r="AG112" s="75"/>
      <c r="AH112" s="75"/>
      <c r="AI112" s="75"/>
      <c r="AJ112" s="75"/>
      <c r="AK112" s="75"/>
      <c r="AL112" s="75"/>
      <c r="AM112" s="75"/>
      <c r="AN112" s="75"/>
      <c r="AO112" s="75"/>
      <c r="AP112" s="75"/>
      <c r="AQ112" s="75"/>
      <c r="AR112" s="75"/>
      <c r="AS112" s="75"/>
      <c r="AT112" s="75"/>
      <c r="AU112" s="75"/>
      <c r="AV112" s="75"/>
      <c r="AW112" s="75"/>
      <c r="AX112" s="75"/>
      <c r="AY112" s="75"/>
      <c r="AZ112" s="75"/>
      <c r="BA112" s="75"/>
      <c r="BB112" s="75"/>
      <c r="BC112" s="75"/>
      <c r="BD112" s="75"/>
      <c r="BE112" s="75"/>
      <c r="BF112" s="75"/>
      <c r="BG112" s="75"/>
      <c r="BH112" s="75"/>
      <c r="BI112" s="75"/>
      <c r="BJ112" s="75"/>
      <c r="BK112" s="75"/>
      <c r="BL112" s="75"/>
      <c r="BM112" s="75"/>
      <c r="BN112" s="75"/>
      <c r="BO112" s="75"/>
      <c r="BP112" s="75"/>
      <c r="BQ112" s="75"/>
      <c r="BR112" s="75"/>
      <c r="BS112" s="75"/>
      <c r="BT112" s="75"/>
      <c r="BU112" s="75"/>
      <c r="BV112" s="75"/>
      <c r="BW112" s="75"/>
      <c r="BX112" s="75"/>
    </row>
    <row r="113">
      <c r="A113" s="76" t="str">
        <f t="shared" si="1"/>
        <v>#REF!</v>
      </c>
      <c r="B113" s="76"/>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c r="AA113" s="75"/>
      <c r="AB113" s="75"/>
      <c r="AC113" s="75"/>
      <c r="AD113" s="75"/>
      <c r="AE113" s="75"/>
      <c r="AF113" s="75"/>
      <c r="AG113" s="75"/>
      <c r="AH113" s="75"/>
      <c r="AI113" s="75"/>
      <c r="AJ113" s="75"/>
      <c r="AK113" s="75"/>
      <c r="AL113" s="75"/>
      <c r="AM113" s="75"/>
      <c r="AN113" s="75"/>
      <c r="AO113" s="75"/>
      <c r="AP113" s="75"/>
      <c r="AQ113" s="75"/>
      <c r="AR113" s="75"/>
      <c r="AS113" s="75"/>
      <c r="AT113" s="75"/>
      <c r="AU113" s="75"/>
      <c r="AV113" s="75"/>
      <c r="AW113" s="75"/>
      <c r="AX113" s="75"/>
      <c r="AY113" s="75"/>
      <c r="AZ113" s="75"/>
      <c r="BA113" s="75"/>
      <c r="BB113" s="75"/>
      <c r="BC113" s="75"/>
      <c r="BD113" s="75"/>
      <c r="BE113" s="75"/>
      <c r="BF113" s="75"/>
      <c r="BG113" s="75"/>
      <c r="BH113" s="75"/>
      <c r="BI113" s="75"/>
      <c r="BJ113" s="75"/>
      <c r="BK113" s="75"/>
      <c r="BL113" s="75"/>
      <c r="BM113" s="75"/>
      <c r="BN113" s="75"/>
      <c r="BO113" s="75"/>
      <c r="BP113" s="75"/>
      <c r="BQ113" s="75"/>
      <c r="BR113" s="75"/>
      <c r="BS113" s="75"/>
      <c r="BT113" s="75"/>
      <c r="BU113" s="75"/>
      <c r="BV113" s="75"/>
      <c r="BW113" s="75"/>
      <c r="BX113" s="75"/>
    </row>
    <row r="114">
      <c r="A114" s="76" t="str">
        <f t="shared" si="1"/>
        <v>#REF!</v>
      </c>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c r="AA114" s="75"/>
      <c r="AB114" s="75"/>
      <c r="AC114" s="75"/>
      <c r="AD114" s="75"/>
      <c r="AE114" s="75"/>
      <c r="AF114" s="75"/>
      <c r="AG114" s="75"/>
      <c r="AH114" s="75"/>
      <c r="AI114" s="75"/>
      <c r="AJ114" s="75"/>
      <c r="AK114" s="75"/>
      <c r="AL114" s="75"/>
      <c r="AM114" s="75"/>
      <c r="AN114" s="75"/>
      <c r="AO114" s="75"/>
      <c r="AP114" s="75"/>
      <c r="AQ114" s="75"/>
      <c r="AR114" s="75"/>
      <c r="AS114" s="75"/>
      <c r="AT114" s="75"/>
      <c r="AU114" s="75"/>
      <c r="AV114" s="75"/>
      <c r="AW114" s="75"/>
      <c r="AX114" s="75"/>
      <c r="AY114" s="75"/>
      <c r="AZ114" s="75"/>
      <c r="BA114" s="75"/>
      <c r="BB114" s="75"/>
      <c r="BC114" s="75"/>
      <c r="BD114" s="75"/>
      <c r="BE114" s="75"/>
      <c r="BF114" s="75"/>
      <c r="BG114" s="75"/>
      <c r="BH114" s="75"/>
      <c r="BI114" s="75"/>
      <c r="BJ114" s="75"/>
      <c r="BK114" s="75"/>
      <c r="BL114" s="75"/>
      <c r="BM114" s="75"/>
      <c r="BN114" s="75"/>
      <c r="BO114" s="75"/>
      <c r="BP114" s="75"/>
      <c r="BQ114" s="75"/>
      <c r="BR114" s="75"/>
      <c r="BS114" s="75"/>
      <c r="BT114" s="75"/>
      <c r="BU114" s="75"/>
      <c r="BV114" s="75"/>
      <c r="BW114" s="75"/>
      <c r="BX114" s="75"/>
    </row>
    <row r="115">
      <c r="A115" s="76" t="str">
        <f t="shared" si="1"/>
        <v>#REF!</v>
      </c>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c r="AA115" s="75"/>
      <c r="AB115" s="75"/>
      <c r="AC115" s="75"/>
      <c r="AD115" s="75"/>
      <c r="AE115" s="75"/>
      <c r="AF115" s="75"/>
      <c r="AG115" s="75"/>
      <c r="AH115" s="75"/>
      <c r="AI115" s="75"/>
      <c r="AJ115" s="75"/>
      <c r="AK115" s="75"/>
      <c r="AL115" s="75"/>
      <c r="AM115" s="75"/>
      <c r="AN115" s="75"/>
      <c r="AO115" s="75"/>
      <c r="AP115" s="75"/>
      <c r="AQ115" s="75"/>
      <c r="AR115" s="75"/>
      <c r="AS115" s="75"/>
      <c r="AT115" s="75"/>
      <c r="AU115" s="75"/>
      <c r="AV115" s="75"/>
      <c r="AW115" s="75"/>
      <c r="AX115" s="75"/>
      <c r="AY115" s="75"/>
      <c r="AZ115" s="75"/>
      <c r="BA115" s="75"/>
      <c r="BB115" s="75"/>
      <c r="BC115" s="75"/>
      <c r="BD115" s="75"/>
      <c r="BE115" s="75"/>
      <c r="BF115" s="75"/>
      <c r="BG115" s="75"/>
      <c r="BH115" s="75"/>
      <c r="BI115" s="75"/>
      <c r="BJ115" s="75"/>
      <c r="BK115" s="75"/>
      <c r="BL115" s="75"/>
      <c r="BM115" s="75"/>
      <c r="BN115" s="75"/>
      <c r="BO115" s="75"/>
      <c r="BP115" s="75"/>
      <c r="BQ115" s="75"/>
      <c r="BR115" s="75"/>
      <c r="BS115" s="75"/>
      <c r="BT115" s="75"/>
      <c r="BU115" s="75"/>
      <c r="BV115" s="75"/>
      <c r="BW115" s="75"/>
      <c r="BX115" s="75"/>
    </row>
    <row r="116">
      <c r="A116" s="76" t="str">
        <f t="shared" si="1"/>
        <v>#REF!</v>
      </c>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5"/>
      <c r="AO116" s="75"/>
      <c r="AP116" s="75"/>
      <c r="AQ116" s="75"/>
      <c r="AR116" s="75"/>
      <c r="AS116" s="75"/>
      <c r="AT116" s="75"/>
      <c r="AU116" s="75"/>
      <c r="AV116" s="75"/>
      <c r="AW116" s="75"/>
      <c r="AX116" s="75"/>
      <c r="AY116" s="75"/>
      <c r="AZ116" s="75"/>
      <c r="BA116" s="75"/>
      <c r="BB116" s="75"/>
      <c r="BC116" s="75"/>
      <c r="BD116" s="75"/>
      <c r="BE116" s="75"/>
      <c r="BF116" s="75"/>
      <c r="BG116" s="75"/>
      <c r="BH116" s="75"/>
      <c r="BI116" s="75"/>
      <c r="BJ116" s="75"/>
      <c r="BK116" s="75"/>
      <c r="BL116" s="75"/>
      <c r="BM116" s="75"/>
      <c r="BN116" s="75"/>
      <c r="BO116" s="75"/>
      <c r="BP116" s="75"/>
      <c r="BQ116" s="75"/>
      <c r="BR116" s="75"/>
      <c r="BS116" s="75"/>
      <c r="BT116" s="75"/>
      <c r="BU116" s="75"/>
      <c r="BV116" s="75"/>
      <c r="BW116" s="75"/>
      <c r="BX116" s="75"/>
    </row>
    <row r="117">
      <c r="A117" s="76" t="str">
        <f t="shared" si="1"/>
        <v>#REF!</v>
      </c>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c r="AA117" s="75"/>
      <c r="AB117" s="75"/>
      <c r="AC117" s="75"/>
      <c r="AD117" s="75"/>
      <c r="AE117" s="75"/>
      <c r="AF117" s="75"/>
      <c r="AG117" s="75"/>
      <c r="AH117" s="75"/>
      <c r="AI117" s="75"/>
      <c r="AJ117" s="75"/>
      <c r="AK117" s="75"/>
      <c r="AL117" s="75"/>
      <c r="AM117" s="75"/>
      <c r="AN117" s="75"/>
      <c r="AO117" s="75"/>
      <c r="AP117" s="75"/>
      <c r="AQ117" s="75"/>
      <c r="AR117" s="75"/>
      <c r="AS117" s="75"/>
      <c r="AT117" s="75"/>
      <c r="AU117" s="75"/>
      <c r="AV117" s="75"/>
      <c r="AW117" s="75"/>
      <c r="AX117" s="75"/>
      <c r="AY117" s="75"/>
      <c r="AZ117" s="75"/>
      <c r="BA117" s="75"/>
      <c r="BB117" s="75"/>
      <c r="BC117" s="75"/>
      <c r="BD117" s="75"/>
      <c r="BE117" s="75"/>
      <c r="BF117" s="75"/>
      <c r="BG117" s="75"/>
      <c r="BH117" s="75"/>
      <c r="BI117" s="75"/>
      <c r="BJ117" s="75"/>
      <c r="BK117" s="75"/>
      <c r="BL117" s="75"/>
      <c r="BM117" s="75"/>
      <c r="BN117" s="75"/>
      <c r="BO117" s="75"/>
      <c r="BP117" s="75"/>
      <c r="BQ117" s="75"/>
      <c r="BR117" s="75"/>
      <c r="BS117" s="75"/>
      <c r="BT117" s="75"/>
      <c r="BU117" s="75"/>
      <c r="BV117" s="75"/>
      <c r="BW117" s="75"/>
      <c r="BX117" s="75"/>
    </row>
    <row r="118">
      <c r="A118" s="76" t="str">
        <f t="shared" si="1"/>
        <v>#REF!</v>
      </c>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c r="AL118" s="75"/>
      <c r="AM118" s="75"/>
      <c r="AN118" s="75"/>
      <c r="AO118" s="75"/>
      <c r="AP118" s="75"/>
      <c r="AQ118" s="75"/>
      <c r="AR118" s="75"/>
      <c r="AS118" s="75"/>
      <c r="AT118" s="75"/>
      <c r="AU118" s="75"/>
      <c r="AV118" s="75"/>
      <c r="AW118" s="75"/>
      <c r="AX118" s="75"/>
      <c r="AY118" s="75"/>
      <c r="AZ118" s="75"/>
      <c r="BA118" s="75"/>
      <c r="BB118" s="75"/>
      <c r="BC118" s="75"/>
      <c r="BD118" s="75"/>
      <c r="BE118" s="75"/>
      <c r="BF118" s="75"/>
      <c r="BG118" s="75"/>
      <c r="BH118" s="75"/>
      <c r="BI118" s="75"/>
      <c r="BJ118" s="75"/>
      <c r="BK118" s="75"/>
      <c r="BL118" s="75"/>
      <c r="BM118" s="75"/>
      <c r="BN118" s="75"/>
      <c r="BO118" s="75"/>
      <c r="BP118" s="75"/>
      <c r="BQ118" s="75"/>
      <c r="BR118" s="75"/>
      <c r="BS118" s="75"/>
      <c r="BT118" s="75"/>
      <c r="BU118" s="75"/>
      <c r="BV118" s="75"/>
      <c r="BW118" s="75"/>
      <c r="BX118" s="75"/>
    </row>
    <row r="119">
      <c r="A119" s="76" t="str">
        <f t="shared" si="1"/>
        <v>#REF!</v>
      </c>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c r="AA119" s="75"/>
      <c r="AB119" s="75"/>
      <c r="AC119" s="75"/>
      <c r="AD119" s="75"/>
      <c r="AE119" s="75"/>
      <c r="AF119" s="75"/>
      <c r="AG119" s="75"/>
      <c r="AH119" s="75"/>
      <c r="AI119" s="75"/>
      <c r="AJ119" s="75"/>
      <c r="AK119" s="75"/>
      <c r="AL119" s="75"/>
      <c r="AM119" s="75"/>
      <c r="AN119" s="75"/>
      <c r="AO119" s="75"/>
      <c r="AP119" s="75"/>
      <c r="AQ119" s="75"/>
      <c r="AR119" s="75"/>
      <c r="AS119" s="75"/>
      <c r="AT119" s="75"/>
      <c r="AU119" s="75"/>
      <c r="AV119" s="75"/>
      <c r="AW119" s="75"/>
      <c r="AX119" s="75"/>
      <c r="AY119" s="75"/>
      <c r="AZ119" s="75"/>
      <c r="BA119" s="75"/>
      <c r="BB119" s="75"/>
      <c r="BC119" s="75"/>
      <c r="BD119" s="75"/>
      <c r="BE119" s="75"/>
      <c r="BF119" s="75"/>
      <c r="BG119" s="75"/>
      <c r="BH119" s="75"/>
      <c r="BI119" s="75"/>
      <c r="BJ119" s="75"/>
      <c r="BK119" s="75"/>
      <c r="BL119" s="75"/>
      <c r="BM119" s="75"/>
      <c r="BN119" s="75"/>
      <c r="BO119" s="75"/>
      <c r="BP119" s="75"/>
      <c r="BQ119" s="75"/>
      <c r="BR119" s="75"/>
      <c r="BS119" s="75"/>
      <c r="BT119" s="75"/>
      <c r="BU119" s="75"/>
      <c r="BV119" s="75"/>
      <c r="BW119" s="75"/>
      <c r="BX119" s="75"/>
    </row>
    <row r="120">
      <c r="A120" s="76" t="str">
        <f t="shared" si="1"/>
        <v>#REF!</v>
      </c>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5"/>
      <c r="AS120" s="75"/>
      <c r="AT120" s="75"/>
      <c r="AU120" s="75"/>
      <c r="AV120" s="75"/>
      <c r="AW120" s="75"/>
      <c r="AX120" s="75"/>
      <c r="AY120" s="75"/>
      <c r="AZ120" s="75"/>
      <c r="BA120" s="75"/>
      <c r="BB120" s="75"/>
      <c r="BC120" s="75"/>
      <c r="BD120" s="75"/>
      <c r="BE120" s="75"/>
      <c r="BF120" s="75"/>
      <c r="BG120" s="75"/>
      <c r="BH120" s="75"/>
      <c r="BI120" s="75"/>
      <c r="BJ120" s="75"/>
      <c r="BK120" s="75"/>
      <c r="BL120" s="75"/>
      <c r="BM120" s="75"/>
      <c r="BN120" s="75"/>
      <c r="BO120" s="75"/>
      <c r="BP120" s="75"/>
      <c r="BQ120" s="75"/>
      <c r="BR120" s="75"/>
      <c r="BS120" s="75"/>
      <c r="BT120" s="75"/>
      <c r="BU120" s="75"/>
      <c r="BV120" s="75"/>
      <c r="BW120" s="75"/>
      <c r="BX120" s="75"/>
    </row>
    <row r="121">
      <c r="A121" s="76" t="str">
        <f t="shared" si="1"/>
        <v>#REF!</v>
      </c>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75"/>
      <c r="AN121" s="75"/>
      <c r="AO121" s="75"/>
      <c r="AP121" s="75"/>
      <c r="AQ121" s="75"/>
      <c r="AR121" s="75"/>
      <c r="AS121" s="75"/>
      <c r="AT121" s="75"/>
      <c r="AU121" s="75"/>
      <c r="AV121" s="75"/>
      <c r="AW121" s="75"/>
      <c r="AX121" s="75"/>
      <c r="AY121" s="75"/>
      <c r="AZ121" s="75"/>
      <c r="BA121" s="75"/>
      <c r="BB121" s="75"/>
      <c r="BC121" s="75"/>
      <c r="BD121" s="75"/>
      <c r="BE121" s="75"/>
      <c r="BF121" s="75"/>
      <c r="BG121" s="75"/>
      <c r="BH121" s="75"/>
      <c r="BI121" s="75"/>
      <c r="BJ121" s="75"/>
      <c r="BK121" s="75"/>
      <c r="BL121" s="75"/>
      <c r="BM121" s="75"/>
      <c r="BN121" s="75"/>
      <c r="BO121" s="75"/>
      <c r="BP121" s="75"/>
      <c r="BQ121" s="75"/>
      <c r="BR121" s="75"/>
      <c r="BS121" s="75"/>
      <c r="BT121" s="75"/>
      <c r="BU121" s="75"/>
      <c r="BV121" s="75"/>
      <c r="BW121" s="75"/>
      <c r="BX121" s="75"/>
    </row>
    <row r="122">
      <c r="A122" s="76" t="str">
        <f t="shared" si="1"/>
        <v>#REF!</v>
      </c>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c r="AA122" s="75"/>
      <c r="AB122" s="75"/>
      <c r="AC122" s="75"/>
      <c r="AD122" s="75"/>
      <c r="AE122" s="75"/>
      <c r="AF122" s="75"/>
      <c r="AG122" s="75"/>
      <c r="AH122" s="75"/>
      <c r="AI122" s="75"/>
      <c r="AJ122" s="75"/>
      <c r="AK122" s="75"/>
      <c r="AL122" s="75"/>
      <c r="AM122" s="75"/>
      <c r="AN122" s="75"/>
      <c r="AO122" s="75"/>
      <c r="AP122" s="75"/>
      <c r="AQ122" s="75"/>
      <c r="AR122" s="75"/>
      <c r="AS122" s="75"/>
      <c r="AT122" s="75"/>
      <c r="AU122" s="75"/>
      <c r="AV122" s="75"/>
      <c r="AW122" s="75"/>
      <c r="AX122" s="75"/>
      <c r="AY122" s="75"/>
      <c r="AZ122" s="75"/>
      <c r="BA122" s="75"/>
      <c r="BB122" s="75"/>
      <c r="BC122" s="75"/>
      <c r="BD122" s="75"/>
      <c r="BE122" s="75"/>
      <c r="BF122" s="75"/>
      <c r="BG122" s="75"/>
      <c r="BH122" s="75"/>
      <c r="BI122" s="75"/>
      <c r="BJ122" s="75"/>
      <c r="BK122" s="75"/>
      <c r="BL122" s="75"/>
      <c r="BM122" s="75"/>
      <c r="BN122" s="75"/>
      <c r="BO122" s="75"/>
      <c r="BP122" s="75"/>
      <c r="BQ122" s="75"/>
      <c r="BR122" s="75"/>
      <c r="BS122" s="75"/>
      <c r="BT122" s="75"/>
      <c r="BU122" s="75"/>
      <c r="BV122" s="75"/>
      <c r="BW122" s="75"/>
      <c r="BX122" s="75"/>
    </row>
    <row r="123">
      <c r="A123" s="76" t="str">
        <f t="shared" si="1"/>
        <v>#REF!</v>
      </c>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c r="AA123" s="75"/>
      <c r="AB123" s="75"/>
      <c r="AC123" s="75"/>
      <c r="AD123" s="75"/>
      <c r="AE123" s="75"/>
      <c r="AF123" s="75"/>
      <c r="AG123" s="75"/>
      <c r="AH123" s="75"/>
      <c r="AI123" s="75"/>
      <c r="AJ123" s="75"/>
      <c r="AK123" s="75"/>
      <c r="AL123" s="75"/>
      <c r="AM123" s="75"/>
      <c r="AN123" s="75"/>
      <c r="AO123" s="75"/>
      <c r="AP123" s="75"/>
      <c r="AQ123" s="75"/>
      <c r="AR123" s="75"/>
      <c r="AS123" s="75"/>
      <c r="AT123" s="75"/>
      <c r="AU123" s="75"/>
      <c r="AV123" s="75"/>
      <c r="AW123" s="75"/>
      <c r="AX123" s="75"/>
      <c r="AY123" s="75"/>
      <c r="AZ123" s="75"/>
      <c r="BA123" s="75"/>
      <c r="BB123" s="75"/>
      <c r="BC123" s="75"/>
      <c r="BD123" s="75"/>
      <c r="BE123" s="75"/>
      <c r="BF123" s="75"/>
      <c r="BG123" s="75"/>
      <c r="BH123" s="75"/>
      <c r="BI123" s="75"/>
      <c r="BJ123" s="75"/>
      <c r="BK123" s="75"/>
      <c r="BL123" s="75"/>
      <c r="BM123" s="75"/>
      <c r="BN123" s="75"/>
      <c r="BO123" s="75"/>
      <c r="BP123" s="75"/>
      <c r="BQ123" s="75"/>
      <c r="BR123" s="75"/>
      <c r="BS123" s="75"/>
      <c r="BT123" s="75"/>
      <c r="BU123" s="75"/>
      <c r="BV123" s="75"/>
      <c r="BW123" s="75"/>
      <c r="BX123" s="75"/>
    </row>
    <row r="124">
      <c r="A124" s="76" t="str">
        <f t="shared" si="1"/>
        <v>#REF!</v>
      </c>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c r="AA124" s="75"/>
      <c r="AB124" s="75"/>
      <c r="AC124" s="75"/>
      <c r="AD124" s="75"/>
      <c r="AE124" s="75"/>
      <c r="AF124" s="75"/>
      <c r="AG124" s="75"/>
      <c r="AH124" s="75"/>
      <c r="AI124" s="75"/>
      <c r="AJ124" s="75"/>
      <c r="AK124" s="75"/>
      <c r="AL124" s="75"/>
      <c r="AM124" s="75"/>
      <c r="AN124" s="75"/>
      <c r="AO124" s="75"/>
      <c r="AP124" s="75"/>
      <c r="AQ124" s="75"/>
      <c r="AR124" s="75"/>
      <c r="AS124" s="75"/>
      <c r="AT124" s="75"/>
      <c r="AU124" s="75"/>
      <c r="AV124" s="75"/>
      <c r="AW124" s="75"/>
      <c r="AX124" s="75"/>
      <c r="AY124" s="75"/>
      <c r="AZ124" s="75"/>
      <c r="BA124" s="75"/>
      <c r="BB124" s="75"/>
      <c r="BC124" s="75"/>
      <c r="BD124" s="75"/>
      <c r="BE124" s="75"/>
      <c r="BF124" s="75"/>
      <c r="BG124" s="75"/>
      <c r="BH124" s="75"/>
      <c r="BI124" s="75"/>
      <c r="BJ124" s="75"/>
      <c r="BK124" s="75"/>
      <c r="BL124" s="75"/>
      <c r="BM124" s="75"/>
      <c r="BN124" s="75"/>
      <c r="BO124" s="75"/>
      <c r="BP124" s="75"/>
      <c r="BQ124" s="75"/>
      <c r="BR124" s="75"/>
      <c r="BS124" s="75"/>
      <c r="BT124" s="75"/>
      <c r="BU124" s="75"/>
      <c r="BV124" s="75"/>
      <c r="BW124" s="75"/>
      <c r="BX124" s="75"/>
    </row>
    <row r="125">
      <c r="A125" s="76" t="str">
        <f t="shared" si="1"/>
        <v>#REF!</v>
      </c>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c r="AA125" s="75"/>
      <c r="AB125" s="75"/>
      <c r="AC125" s="75"/>
      <c r="AD125" s="75"/>
      <c r="AE125" s="75"/>
      <c r="AF125" s="75"/>
      <c r="AG125" s="75"/>
      <c r="AH125" s="75"/>
      <c r="AI125" s="75"/>
      <c r="AJ125" s="75"/>
      <c r="AK125" s="75"/>
      <c r="AL125" s="75"/>
      <c r="AM125" s="75"/>
      <c r="AN125" s="75"/>
      <c r="AO125" s="75"/>
      <c r="AP125" s="75"/>
      <c r="AQ125" s="75"/>
      <c r="AR125" s="75"/>
      <c r="AS125" s="75"/>
      <c r="AT125" s="75"/>
      <c r="AU125" s="75"/>
      <c r="AV125" s="75"/>
      <c r="AW125" s="75"/>
      <c r="AX125" s="75"/>
      <c r="AY125" s="75"/>
      <c r="AZ125" s="75"/>
      <c r="BA125" s="75"/>
      <c r="BB125" s="75"/>
      <c r="BC125" s="75"/>
      <c r="BD125" s="75"/>
      <c r="BE125" s="75"/>
      <c r="BF125" s="75"/>
      <c r="BG125" s="75"/>
      <c r="BH125" s="75"/>
      <c r="BI125" s="75"/>
      <c r="BJ125" s="75"/>
      <c r="BK125" s="75"/>
      <c r="BL125" s="75"/>
      <c r="BM125" s="75"/>
      <c r="BN125" s="75"/>
      <c r="BO125" s="75"/>
      <c r="BP125" s="75"/>
      <c r="BQ125" s="75"/>
      <c r="BR125" s="75"/>
      <c r="BS125" s="75"/>
      <c r="BT125" s="75"/>
      <c r="BU125" s="75"/>
      <c r="BV125" s="75"/>
      <c r="BW125" s="75"/>
      <c r="BX125" s="75"/>
    </row>
    <row r="126">
      <c r="A126" s="76" t="str">
        <f t="shared" si="1"/>
        <v>#REF!</v>
      </c>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c r="AA126" s="75"/>
      <c r="AB126" s="75"/>
      <c r="AC126" s="75"/>
      <c r="AD126" s="75"/>
      <c r="AE126" s="75"/>
      <c r="AF126" s="75"/>
      <c r="AG126" s="75"/>
      <c r="AH126" s="75"/>
      <c r="AI126" s="75"/>
      <c r="AJ126" s="75"/>
      <c r="AK126" s="75"/>
      <c r="AL126" s="75"/>
      <c r="AM126" s="75"/>
      <c r="AN126" s="75"/>
      <c r="AO126" s="75"/>
      <c r="AP126" s="75"/>
      <c r="AQ126" s="75"/>
      <c r="AR126" s="75"/>
      <c r="AS126" s="75"/>
      <c r="AT126" s="75"/>
      <c r="AU126" s="75"/>
      <c r="AV126" s="75"/>
      <c r="AW126" s="75"/>
      <c r="AX126" s="75"/>
      <c r="AY126" s="75"/>
      <c r="AZ126" s="75"/>
      <c r="BA126" s="75"/>
      <c r="BB126" s="75"/>
      <c r="BC126" s="75"/>
      <c r="BD126" s="75"/>
      <c r="BE126" s="75"/>
      <c r="BF126" s="75"/>
      <c r="BG126" s="75"/>
      <c r="BH126" s="75"/>
      <c r="BI126" s="75"/>
      <c r="BJ126" s="75"/>
      <c r="BK126" s="75"/>
      <c r="BL126" s="75"/>
      <c r="BM126" s="75"/>
      <c r="BN126" s="75"/>
      <c r="BO126" s="75"/>
      <c r="BP126" s="75"/>
      <c r="BQ126" s="75"/>
      <c r="BR126" s="75"/>
      <c r="BS126" s="75"/>
      <c r="BT126" s="75"/>
      <c r="BU126" s="75"/>
      <c r="BV126" s="75"/>
      <c r="BW126" s="75"/>
      <c r="BX126" s="75"/>
    </row>
    <row r="127">
      <c r="A127" s="76" t="str">
        <f t="shared" si="1"/>
        <v>#REF!</v>
      </c>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c r="AA127" s="75"/>
      <c r="AB127" s="75"/>
      <c r="AC127" s="75"/>
      <c r="AD127" s="75"/>
      <c r="AE127" s="75"/>
      <c r="AF127" s="75"/>
      <c r="AG127" s="75"/>
      <c r="AH127" s="75"/>
      <c r="AI127" s="75"/>
      <c r="AJ127" s="75"/>
      <c r="AK127" s="75"/>
      <c r="AL127" s="75"/>
      <c r="AM127" s="75"/>
      <c r="AN127" s="75"/>
      <c r="AO127" s="75"/>
      <c r="AP127" s="75"/>
      <c r="AQ127" s="75"/>
      <c r="AR127" s="75"/>
      <c r="AS127" s="75"/>
      <c r="AT127" s="75"/>
      <c r="AU127" s="75"/>
      <c r="AV127" s="75"/>
      <c r="AW127" s="75"/>
      <c r="AX127" s="75"/>
      <c r="AY127" s="75"/>
      <c r="AZ127" s="75"/>
      <c r="BA127" s="75"/>
      <c r="BB127" s="75"/>
      <c r="BC127" s="75"/>
      <c r="BD127" s="75"/>
      <c r="BE127" s="75"/>
      <c r="BF127" s="75"/>
      <c r="BG127" s="75"/>
      <c r="BH127" s="75"/>
      <c r="BI127" s="75"/>
      <c r="BJ127" s="75"/>
      <c r="BK127" s="75"/>
      <c r="BL127" s="75"/>
      <c r="BM127" s="75"/>
      <c r="BN127" s="75"/>
      <c r="BO127" s="75"/>
      <c r="BP127" s="75"/>
      <c r="BQ127" s="75"/>
      <c r="BR127" s="75"/>
      <c r="BS127" s="75"/>
      <c r="BT127" s="75"/>
      <c r="BU127" s="75"/>
      <c r="BV127" s="75"/>
      <c r="BW127" s="75"/>
      <c r="BX127" s="75"/>
    </row>
    <row r="128">
      <c r="A128" s="76" t="str">
        <f t="shared" si="1"/>
        <v>#REF!</v>
      </c>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c r="AA128" s="75"/>
      <c r="AB128" s="75"/>
      <c r="AC128" s="75"/>
      <c r="AD128" s="75"/>
      <c r="AE128" s="75"/>
      <c r="AF128" s="75"/>
      <c r="AG128" s="75"/>
      <c r="AH128" s="75"/>
      <c r="AI128" s="75"/>
      <c r="AJ128" s="75"/>
      <c r="AK128" s="75"/>
      <c r="AL128" s="75"/>
      <c r="AM128" s="75"/>
      <c r="AN128" s="75"/>
      <c r="AO128" s="75"/>
      <c r="AP128" s="75"/>
      <c r="AQ128" s="75"/>
      <c r="AR128" s="75"/>
      <c r="AS128" s="75"/>
      <c r="AT128" s="75"/>
      <c r="AU128" s="75"/>
      <c r="AV128" s="75"/>
      <c r="AW128" s="75"/>
      <c r="AX128" s="75"/>
      <c r="AY128" s="75"/>
      <c r="AZ128" s="75"/>
      <c r="BA128" s="75"/>
      <c r="BB128" s="75"/>
      <c r="BC128" s="75"/>
      <c r="BD128" s="75"/>
      <c r="BE128" s="75"/>
      <c r="BF128" s="75"/>
      <c r="BG128" s="75"/>
      <c r="BH128" s="75"/>
      <c r="BI128" s="75"/>
      <c r="BJ128" s="75"/>
      <c r="BK128" s="75"/>
      <c r="BL128" s="75"/>
      <c r="BM128" s="75"/>
      <c r="BN128" s="75"/>
      <c r="BO128" s="75"/>
      <c r="BP128" s="75"/>
      <c r="BQ128" s="75"/>
      <c r="BR128" s="75"/>
      <c r="BS128" s="75"/>
      <c r="BT128" s="75"/>
      <c r="BU128" s="75"/>
      <c r="BV128" s="75"/>
      <c r="BW128" s="75"/>
      <c r="BX128" s="75"/>
    </row>
    <row r="129">
      <c r="A129" s="76" t="str">
        <f t="shared" si="1"/>
        <v>#REF!</v>
      </c>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c r="AA129" s="75"/>
      <c r="AB129" s="75"/>
      <c r="AC129" s="75"/>
      <c r="AD129" s="75"/>
      <c r="AE129" s="75"/>
      <c r="AF129" s="75"/>
      <c r="AG129" s="75"/>
      <c r="AH129" s="75"/>
      <c r="AI129" s="75"/>
      <c r="AJ129" s="75"/>
      <c r="AK129" s="75"/>
      <c r="AL129" s="75"/>
      <c r="AM129" s="75"/>
      <c r="AN129" s="75"/>
      <c r="AO129" s="75"/>
      <c r="AP129" s="75"/>
      <c r="AQ129" s="75"/>
      <c r="AR129" s="75"/>
      <c r="AS129" s="75"/>
      <c r="AT129" s="75"/>
      <c r="AU129" s="75"/>
      <c r="AV129" s="75"/>
      <c r="AW129" s="75"/>
      <c r="AX129" s="75"/>
      <c r="AY129" s="75"/>
      <c r="AZ129" s="75"/>
      <c r="BA129" s="75"/>
      <c r="BB129" s="75"/>
      <c r="BC129" s="75"/>
      <c r="BD129" s="75"/>
      <c r="BE129" s="75"/>
      <c r="BF129" s="75"/>
      <c r="BG129" s="75"/>
      <c r="BH129" s="75"/>
      <c r="BI129" s="75"/>
      <c r="BJ129" s="75"/>
      <c r="BK129" s="75"/>
      <c r="BL129" s="75"/>
      <c r="BM129" s="75"/>
      <c r="BN129" s="75"/>
      <c r="BO129" s="75"/>
      <c r="BP129" s="75"/>
      <c r="BQ129" s="75"/>
      <c r="BR129" s="75"/>
      <c r="BS129" s="75"/>
      <c r="BT129" s="75"/>
      <c r="BU129" s="75"/>
      <c r="BV129" s="75"/>
      <c r="BW129" s="75"/>
      <c r="BX129" s="75"/>
    </row>
    <row r="130">
      <c r="A130" s="76" t="str">
        <f t="shared" si="1"/>
        <v>#REF!</v>
      </c>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c r="AA130" s="75"/>
      <c r="AB130" s="75"/>
      <c r="AC130" s="75"/>
      <c r="AD130" s="75"/>
      <c r="AE130" s="75"/>
      <c r="AF130" s="75"/>
      <c r="AG130" s="75"/>
      <c r="AH130" s="75"/>
      <c r="AI130" s="75"/>
      <c r="AJ130" s="75"/>
      <c r="AK130" s="75"/>
      <c r="AL130" s="75"/>
      <c r="AM130" s="75"/>
      <c r="AN130" s="75"/>
      <c r="AO130" s="75"/>
      <c r="AP130" s="75"/>
      <c r="AQ130" s="75"/>
      <c r="AR130" s="75"/>
      <c r="AS130" s="75"/>
      <c r="AT130" s="75"/>
      <c r="AU130" s="75"/>
      <c r="AV130" s="75"/>
      <c r="AW130" s="75"/>
      <c r="AX130" s="75"/>
      <c r="AY130" s="75"/>
      <c r="AZ130" s="75"/>
      <c r="BA130" s="75"/>
      <c r="BB130" s="75"/>
      <c r="BC130" s="75"/>
      <c r="BD130" s="75"/>
      <c r="BE130" s="75"/>
      <c r="BF130" s="75"/>
      <c r="BG130" s="75"/>
      <c r="BH130" s="75"/>
      <c r="BI130" s="75"/>
      <c r="BJ130" s="75"/>
      <c r="BK130" s="75"/>
      <c r="BL130" s="75"/>
      <c r="BM130" s="75"/>
      <c r="BN130" s="75"/>
      <c r="BO130" s="75"/>
      <c r="BP130" s="75"/>
      <c r="BQ130" s="75"/>
      <c r="BR130" s="75"/>
      <c r="BS130" s="75"/>
      <c r="BT130" s="75"/>
      <c r="BU130" s="75"/>
      <c r="BV130" s="75"/>
      <c r="BW130" s="75"/>
      <c r="BX130" s="75"/>
    </row>
    <row r="131">
      <c r="A131" s="76" t="str">
        <f t="shared" si="1"/>
        <v>#REF!</v>
      </c>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c r="AA131" s="75"/>
      <c r="AB131" s="75"/>
      <c r="AC131" s="75"/>
      <c r="AD131" s="75"/>
      <c r="AE131" s="75"/>
      <c r="AF131" s="75"/>
      <c r="AG131" s="75"/>
      <c r="AH131" s="75"/>
      <c r="AI131" s="75"/>
      <c r="AJ131" s="75"/>
      <c r="AK131" s="75"/>
      <c r="AL131" s="75"/>
      <c r="AM131" s="75"/>
      <c r="AN131" s="75"/>
      <c r="AO131" s="75"/>
      <c r="AP131" s="75"/>
      <c r="AQ131" s="75"/>
      <c r="AR131" s="75"/>
      <c r="AS131" s="75"/>
      <c r="AT131" s="75"/>
      <c r="AU131" s="75"/>
      <c r="AV131" s="75"/>
      <c r="AW131" s="75"/>
      <c r="AX131" s="75"/>
      <c r="AY131" s="75"/>
      <c r="AZ131" s="75"/>
      <c r="BA131" s="75"/>
      <c r="BB131" s="75"/>
      <c r="BC131" s="75"/>
      <c r="BD131" s="75"/>
      <c r="BE131" s="75"/>
      <c r="BF131" s="75"/>
      <c r="BG131" s="75"/>
      <c r="BH131" s="75"/>
      <c r="BI131" s="75"/>
      <c r="BJ131" s="75"/>
      <c r="BK131" s="75"/>
      <c r="BL131" s="75"/>
      <c r="BM131" s="75"/>
      <c r="BN131" s="75"/>
      <c r="BO131" s="75"/>
      <c r="BP131" s="75"/>
      <c r="BQ131" s="75"/>
      <c r="BR131" s="75"/>
      <c r="BS131" s="75"/>
      <c r="BT131" s="75"/>
      <c r="BU131" s="75"/>
      <c r="BV131" s="75"/>
      <c r="BW131" s="75"/>
      <c r="BX131" s="75"/>
    </row>
    <row r="132">
      <c r="A132" s="76" t="str">
        <f t="shared" si="1"/>
        <v>#REF!</v>
      </c>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c r="AA132" s="75"/>
      <c r="AB132" s="75"/>
      <c r="AC132" s="75"/>
      <c r="AD132" s="75"/>
      <c r="AE132" s="75"/>
      <c r="AF132" s="75"/>
      <c r="AG132" s="75"/>
      <c r="AH132" s="75"/>
      <c r="AI132" s="75"/>
      <c r="AJ132" s="75"/>
      <c r="AK132" s="75"/>
      <c r="AL132" s="75"/>
      <c r="AM132" s="75"/>
      <c r="AN132" s="75"/>
      <c r="AO132" s="75"/>
      <c r="AP132" s="75"/>
      <c r="AQ132" s="75"/>
      <c r="AR132" s="75"/>
      <c r="AS132" s="75"/>
      <c r="AT132" s="75"/>
      <c r="AU132" s="75"/>
      <c r="AV132" s="75"/>
      <c r="AW132" s="75"/>
      <c r="AX132" s="75"/>
      <c r="AY132" s="75"/>
      <c r="AZ132" s="75"/>
      <c r="BA132" s="75"/>
      <c r="BB132" s="75"/>
      <c r="BC132" s="75"/>
      <c r="BD132" s="75"/>
      <c r="BE132" s="75"/>
      <c r="BF132" s="75"/>
      <c r="BG132" s="75"/>
      <c r="BH132" s="75"/>
      <c r="BI132" s="75"/>
      <c r="BJ132" s="75"/>
      <c r="BK132" s="75"/>
      <c r="BL132" s="75"/>
      <c r="BM132" s="75"/>
      <c r="BN132" s="75"/>
      <c r="BO132" s="75"/>
      <c r="BP132" s="75"/>
      <c r="BQ132" s="75"/>
      <c r="BR132" s="75"/>
      <c r="BS132" s="75"/>
      <c r="BT132" s="75"/>
      <c r="BU132" s="75"/>
      <c r="BV132" s="75"/>
      <c r="BW132" s="75"/>
      <c r="BX132" s="75"/>
    </row>
    <row r="133">
      <c r="A133" s="76" t="str">
        <f t="shared" si="1"/>
        <v>#REF!</v>
      </c>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c r="AA133" s="75"/>
      <c r="AB133" s="75"/>
      <c r="AC133" s="75"/>
      <c r="AD133" s="75"/>
      <c r="AE133" s="75"/>
      <c r="AF133" s="75"/>
      <c r="AG133" s="75"/>
      <c r="AH133" s="75"/>
      <c r="AI133" s="75"/>
      <c r="AJ133" s="75"/>
      <c r="AK133" s="75"/>
      <c r="AL133" s="75"/>
      <c r="AM133" s="75"/>
      <c r="AN133" s="75"/>
      <c r="AO133" s="75"/>
      <c r="AP133" s="75"/>
      <c r="AQ133" s="75"/>
      <c r="AR133" s="75"/>
      <c r="AS133" s="75"/>
      <c r="AT133" s="75"/>
      <c r="AU133" s="75"/>
      <c r="AV133" s="75"/>
      <c r="AW133" s="75"/>
      <c r="AX133" s="75"/>
      <c r="AY133" s="75"/>
      <c r="AZ133" s="75"/>
      <c r="BA133" s="75"/>
      <c r="BB133" s="75"/>
      <c r="BC133" s="75"/>
      <c r="BD133" s="75"/>
      <c r="BE133" s="75"/>
      <c r="BF133" s="75"/>
      <c r="BG133" s="75"/>
      <c r="BH133" s="75"/>
      <c r="BI133" s="75"/>
      <c r="BJ133" s="75"/>
      <c r="BK133" s="75"/>
      <c r="BL133" s="75"/>
      <c r="BM133" s="75"/>
      <c r="BN133" s="75"/>
      <c r="BO133" s="75"/>
      <c r="BP133" s="75"/>
      <c r="BQ133" s="75"/>
      <c r="BR133" s="75"/>
      <c r="BS133" s="75"/>
      <c r="BT133" s="75"/>
      <c r="BU133" s="75"/>
      <c r="BV133" s="75"/>
      <c r="BW133" s="75"/>
      <c r="BX133" s="75"/>
    </row>
    <row r="134">
      <c r="A134" s="76" t="str">
        <f t="shared" si="1"/>
        <v>#REF!</v>
      </c>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c r="AA134" s="75"/>
      <c r="AB134" s="75"/>
      <c r="AC134" s="75"/>
      <c r="AD134" s="75"/>
      <c r="AE134" s="75"/>
      <c r="AF134" s="75"/>
      <c r="AG134" s="75"/>
      <c r="AH134" s="75"/>
      <c r="AI134" s="75"/>
      <c r="AJ134" s="75"/>
      <c r="AK134" s="75"/>
      <c r="AL134" s="75"/>
      <c r="AM134" s="75"/>
      <c r="AN134" s="75"/>
      <c r="AO134" s="75"/>
      <c r="AP134" s="75"/>
      <c r="AQ134" s="75"/>
      <c r="AR134" s="75"/>
      <c r="AS134" s="75"/>
      <c r="AT134" s="75"/>
      <c r="AU134" s="75"/>
      <c r="AV134" s="75"/>
      <c r="AW134" s="75"/>
      <c r="AX134" s="75"/>
      <c r="AY134" s="75"/>
      <c r="AZ134" s="75"/>
      <c r="BA134" s="75"/>
      <c r="BB134" s="75"/>
      <c r="BC134" s="75"/>
      <c r="BD134" s="75"/>
      <c r="BE134" s="75"/>
      <c r="BF134" s="75"/>
      <c r="BG134" s="75"/>
      <c r="BH134" s="75"/>
      <c r="BI134" s="75"/>
      <c r="BJ134" s="75"/>
      <c r="BK134" s="75"/>
      <c r="BL134" s="75"/>
      <c r="BM134" s="75"/>
      <c r="BN134" s="75"/>
      <c r="BO134" s="75"/>
      <c r="BP134" s="75"/>
      <c r="BQ134" s="75"/>
      <c r="BR134" s="75"/>
      <c r="BS134" s="75"/>
      <c r="BT134" s="75"/>
      <c r="BU134" s="75"/>
      <c r="BV134" s="75"/>
      <c r="BW134" s="75"/>
      <c r="BX134" s="75"/>
    </row>
    <row r="135">
      <c r="A135" s="76" t="str">
        <f t="shared" si="1"/>
        <v>#REF!</v>
      </c>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c r="AA135" s="75"/>
      <c r="AB135" s="75"/>
      <c r="AC135" s="75"/>
      <c r="AD135" s="75"/>
      <c r="AE135" s="75"/>
      <c r="AF135" s="75"/>
      <c r="AG135" s="75"/>
      <c r="AH135" s="75"/>
      <c r="AI135" s="75"/>
      <c r="AJ135" s="75"/>
      <c r="AK135" s="75"/>
      <c r="AL135" s="75"/>
      <c r="AM135" s="75"/>
      <c r="AN135" s="75"/>
      <c r="AO135" s="75"/>
      <c r="AP135" s="75"/>
      <c r="AQ135" s="75"/>
      <c r="AR135" s="75"/>
      <c r="AS135" s="75"/>
      <c r="AT135" s="75"/>
      <c r="AU135" s="75"/>
      <c r="AV135" s="75"/>
      <c r="AW135" s="75"/>
      <c r="AX135" s="75"/>
      <c r="AY135" s="75"/>
      <c r="AZ135" s="75"/>
      <c r="BA135" s="75"/>
      <c r="BB135" s="75"/>
      <c r="BC135" s="75"/>
      <c r="BD135" s="75"/>
      <c r="BE135" s="75"/>
      <c r="BF135" s="75"/>
      <c r="BG135" s="75"/>
      <c r="BH135" s="75"/>
      <c r="BI135" s="75"/>
      <c r="BJ135" s="75"/>
      <c r="BK135" s="75"/>
      <c r="BL135" s="75"/>
      <c r="BM135" s="75"/>
      <c r="BN135" s="75"/>
      <c r="BO135" s="75"/>
      <c r="BP135" s="75"/>
      <c r="BQ135" s="75"/>
      <c r="BR135" s="75"/>
      <c r="BS135" s="75"/>
      <c r="BT135" s="75"/>
      <c r="BU135" s="75"/>
      <c r="BV135" s="75"/>
      <c r="BW135" s="75"/>
      <c r="BX135" s="75"/>
    </row>
    <row r="136">
      <c r="A136" s="76" t="str">
        <f t="shared" si="1"/>
        <v>#REF!</v>
      </c>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c r="AA136" s="75"/>
      <c r="AB136" s="75"/>
      <c r="AC136" s="75"/>
      <c r="AD136" s="75"/>
      <c r="AE136" s="75"/>
      <c r="AF136" s="75"/>
      <c r="AG136" s="75"/>
      <c r="AH136" s="75"/>
      <c r="AI136" s="75"/>
      <c r="AJ136" s="75"/>
      <c r="AK136" s="75"/>
      <c r="AL136" s="75"/>
      <c r="AM136" s="75"/>
      <c r="AN136" s="75"/>
      <c r="AO136" s="75"/>
      <c r="AP136" s="75"/>
      <c r="AQ136" s="75"/>
      <c r="AR136" s="75"/>
      <c r="AS136" s="75"/>
      <c r="AT136" s="75"/>
      <c r="AU136" s="75"/>
      <c r="AV136" s="75"/>
      <c r="AW136" s="75"/>
      <c r="AX136" s="75"/>
      <c r="AY136" s="75"/>
      <c r="AZ136" s="75"/>
      <c r="BA136" s="75"/>
      <c r="BB136" s="75"/>
      <c r="BC136" s="75"/>
      <c r="BD136" s="75"/>
      <c r="BE136" s="75"/>
      <c r="BF136" s="75"/>
      <c r="BG136" s="75"/>
      <c r="BH136" s="75"/>
      <c r="BI136" s="75"/>
      <c r="BJ136" s="75"/>
      <c r="BK136" s="75"/>
      <c r="BL136" s="75"/>
      <c r="BM136" s="75"/>
      <c r="BN136" s="75"/>
      <c r="BO136" s="75"/>
      <c r="BP136" s="75"/>
      <c r="BQ136" s="75"/>
      <c r="BR136" s="75"/>
      <c r="BS136" s="75"/>
      <c r="BT136" s="75"/>
      <c r="BU136" s="75"/>
      <c r="BV136" s="75"/>
      <c r="BW136" s="75"/>
      <c r="BX136" s="75"/>
    </row>
    <row r="137">
      <c r="A137" s="76" t="str">
        <f t="shared" si="1"/>
        <v>#REF!</v>
      </c>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c r="AA137" s="75"/>
      <c r="AB137" s="75"/>
      <c r="AC137" s="75"/>
      <c r="AD137" s="75"/>
      <c r="AE137" s="75"/>
      <c r="AF137" s="75"/>
      <c r="AG137" s="75"/>
      <c r="AH137" s="75"/>
      <c r="AI137" s="75"/>
      <c r="AJ137" s="75"/>
      <c r="AK137" s="75"/>
      <c r="AL137" s="75"/>
      <c r="AM137" s="75"/>
      <c r="AN137" s="75"/>
      <c r="AO137" s="75"/>
      <c r="AP137" s="75"/>
      <c r="AQ137" s="75"/>
      <c r="AR137" s="75"/>
      <c r="AS137" s="75"/>
      <c r="AT137" s="75"/>
      <c r="AU137" s="75"/>
      <c r="AV137" s="75"/>
      <c r="AW137" s="75"/>
      <c r="AX137" s="75"/>
      <c r="AY137" s="75"/>
      <c r="AZ137" s="75"/>
      <c r="BA137" s="75"/>
      <c r="BB137" s="75"/>
      <c r="BC137" s="75"/>
      <c r="BD137" s="75"/>
      <c r="BE137" s="75"/>
      <c r="BF137" s="75"/>
      <c r="BG137" s="75"/>
      <c r="BH137" s="75"/>
      <c r="BI137" s="75"/>
      <c r="BJ137" s="75"/>
      <c r="BK137" s="75"/>
      <c r="BL137" s="75"/>
      <c r="BM137" s="75"/>
      <c r="BN137" s="75"/>
      <c r="BO137" s="75"/>
      <c r="BP137" s="75"/>
      <c r="BQ137" s="75"/>
      <c r="BR137" s="75"/>
      <c r="BS137" s="75"/>
      <c r="BT137" s="75"/>
      <c r="BU137" s="75"/>
      <c r="BV137" s="75"/>
      <c r="BW137" s="75"/>
      <c r="BX137" s="75"/>
    </row>
    <row r="138">
      <c r="A138" s="76" t="str">
        <f t="shared" si="1"/>
        <v>#REF!</v>
      </c>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c r="AA138" s="75"/>
      <c r="AB138" s="75"/>
      <c r="AC138" s="75"/>
      <c r="AD138" s="75"/>
      <c r="AE138" s="75"/>
      <c r="AF138" s="75"/>
      <c r="AG138" s="75"/>
      <c r="AH138" s="75"/>
      <c r="AI138" s="75"/>
      <c r="AJ138" s="75"/>
      <c r="AK138" s="75"/>
      <c r="AL138" s="75"/>
      <c r="AM138" s="75"/>
      <c r="AN138" s="75"/>
      <c r="AO138" s="75"/>
      <c r="AP138" s="75"/>
      <c r="AQ138" s="75"/>
      <c r="AR138" s="75"/>
      <c r="AS138" s="75"/>
      <c r="AT138" s="75"/>
      <c r="AU138" s="75"/>
      <c r="AV138" s="75"/>
      <c r="AW138" s="75"/>
      <c r="AX138" s="75"/>
      <c r="AY138" s="75"/>
      <c r="AZ138" s="75"/>
      <c r="BA138" s="75"/>
      <c r="BB138" s="75"/>
      <c r="BC138" s="75"/>
      <c r="BD138" s="75"/>
      <c r="BE138" s="75"/>
      <c r="BF138" s="75"/>
      <c r="BG138" s="75"/>
      <c r="BH138" s="75"/>
      <c r="BI138" s="75"/>
      <c r="BJ138" s="75"/>
      <c r="BK138" s="75"/>
      <c r="BL138" s="75"/>
      <c r="BM138" s="75"/>
      <c r="BN138" s="75"/>
      <c r="BO138" s="75"/>
      <c r="BP138" s="75"/>
      <c r="BQ138" s="75"/>
      <c r="BR138" s="75"/>
      <c r="BS138" s="75"/>
      <c r="BT138" s="75"/>
      <c r="BU138" s="75"/>
      <c r="BV138" s="75"/>
      <c r="BW138" s="75"/>
      <c r="BX138" s="75"/>
    </row>
    <row r="139">
      <c r="A139" s="76" t="str">
        <f t="shared" si="1"/>
        <v>#REF!</v>
      </c>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c r="AA139" s="75"/>
      <c r="AB139" s="75"/>
      <c r="AC139" s="75"/>
      <c r="AD139" s="75"/>
      <c r="AE139" s="75"/>
      <c r="AF139" s="75"/>
      <c r="AG139" s="75"/>
      <c r="AH139" s="75"/>
      <c r="AI139" s="75"/>
      <c r="AJ139" s="75"/>
      <c r="AK139" s="75"/>
      <c r="AL139" s="75"/>
      <c r="AM139" s="75"/>
      <c r="AN139" s="75"/>
      <c r="AO139" s="75"/>
      <c r="AP139" s="75"/>
      <c r="AQ139" s="75"/>
      <c r="AR139" s="75"/>
      <c r="AS139" s="75"/>
      <c r="AT139" s="75"/>
      <c r="AU139" s="75"/>
      <c r="AV139" s="75"/>
      <c r="AW139" s="75"/>
      <c r="AX139" s="75"/>
      <c r="AY139" s="75"/>
      <c r="AZ139" s="75"/>
      <c r="BA139" s="75"/>
      <c r="BB139" s="75"/>
      <c r="BC139" s="75"/>
      <c r="BD139" s="75"/>
      <c r="BE139" s="75"/>
      <c r="BF139" s="75"/>
      <c r="BG139" s="75"/>
      <c r="BH139" s="75"/>
      <c r="BI139" s="75"/>
      <c r="BJ139" s="75"/>
      <c r="BK139" s="75"/>
      <c r="BL139" s="75"/>
      <c r="BM139" s="75"/>
      <c r="BN139" s="75"/>
      <c r="BO139" s="75"/>
      <c r="BP139" s="75"/>
      <c r="BQ139" s="75"/>
      <c r="BR139" s="75"/>
      <c r="BS139" s="75"/>
      <c r="BT139" s="75"/>
      <c r="BU139" s="75"/>
      <c r="BV139" s="75"/>
      <c r="BW139" s="75"/>
      <c r="BX139" s="75"/>
    </row>
    <row r="140">
      <c r="A140" s="76" t="str">
        <f t="shared" si="1"/>
        <v>#REF!</v>
      </c>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c r="AA140" s="75"/>
      <c r="AB140" s="75"/>
      <c r="AC140" s="75"/>
      <c r="AD140" s="75"/>
      <c r="AE140" s="75"/>
      <c r="AF140" s="75"/>
      <c r="AG140" s="75"/>
      <c r="AH140" s="75"/>
      <c r="AI140" s="75"/>
      <c r="AJ140" s="75"/>
      <c r="AK140" s="75"/>
      <c r="AL140" s="75"/>
      <c r="AM140" s="75"/>
      <c r="AN140" s="75"/>
      <c r="AO140" s="75"/>
      <c r="AP140" s="75"/>
      <c r="AQ140" s="75"/>
      <c r="AR140" s="75"/>
      <c r="AS140" s="75"/>
      <c r="AT140" s="75"/>
      <c r="AU140" s="75"/>
      <c r="AV140" s="75"/>
      <c r="AW140" s="75"/>
      <c r="AX140" s="75"/>
      <c r="AY140" s="75"/>
      <c r="AZ140" s="75"/>
      <c r="BA140" s="75"/>
      <c r="BB140" s="75"/>
      <c r="BC140" s="75"/>
      <c r="BD140" s="75"/>
      <c r="BE140" s="75"/>
      <c r="BF140" s="75"/>
      <c r="BG140" s="75"/>
      <c r="BH140" s="75"/>
      <c r="BI140" s="75"/>
      <c r="BJ140" s="75"/>
      <c r="BK140" s="75"/>
      <c r="BL140" s="75"/>
      <c r="BM140" s="75"/>
      <c r="BN140" s="75"/>
      <c r="BO140" s="75"/>
      <c r="BP140" s="75"/>
      <c r="BQ140" s="75"/>
      <c r="BR140" s="75"/>
      <c r="BS140" s="75"/>
      <c r="BT140" s="75"/>
      <c r="BU140" s="75"/>
      <c r="BV140" s="75"/>
      <c r="BW140" s="75"/>
      <c r="BX140" s="75"/>
    </row>
    <row r="141">
      <c r="A141" s="76" t="str">
        <f t="shared" si="1"/>
        <v>#REF!</v>
      </c>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c r="AA141" s="75"/>
      <c r="AB141" s="75"/>
      <c r="AC141" s="75"/>
      <c r="AD141" s="75"/>
      <c r="AE141" s="75"/>
      <c r="AF141" s="75"/>
      <c r="AG141" s="75"/>
      <c r="AH141" s="75"/>
      <c r="AI141" s="75"/>
      <c r="AJ141" s="75"/>
      <c r="AK141" s="75"/>
      <c r="AL141" s="75"/>
      <c r="AM141" s="75"/>
      <c r="AN141" s="75"/>
      <c r="AO141" s="75"/>
      <c r="AP141" s="75"/>
      <c r="AQ141" s="75"/>
      <c r="AR141" s="75"/>
      <c r="AS141" s="75"/>
      <c r="AT141" s="75"/>
      <c r="AU141" s="75"/>
      <c r="AV141" s="75"/>
      <c r="AW141" s="75"/>
      <c r="AX141" s="75"/>
      <c r="AY141" s="75"/>
      <c r="AZ141" s="75"/>
      <c r="BA141" s="75"/>
      <c r="BB141" s="75"/>
      <c r="BC141" s="75"/>
      <c r="BD141" s="75"/>
      <c r="BE141" s="75"/>
      <c r="BF141" s="75"/>
      <c r="BG141" s="75"/>
      <c r="BH141" s="75"/>
      <c r="BI141" s="75"/>
      <c r="BJ141" s="75"/>
      <c r="BK141" s="75"/>
      <c r="BL141" s="75"/>
      <c r="BM141" s="75"/>
      <c r="BN141" s="75"/>
      <c r="BO141" s="75"/>
      <c r="BP141" s="75"/>
      <c r="BQ141" s="75"/>
      <c r="BR141" s="75"/>
      <c r="BS141" s="75"/>
      <c r="BT141" s="75"/>
      <c r="BU141" s="75"/>
      <c r="BV141" s="75"/>
      <c r="BW141" s="75"/>
      <c r="BX141" s="75"/>
    </row>
    <row r="142">
      <c r="A142" s="76" t="str">
        <f t="shared" si="1"/>
        <v>#REF!</v>
      </c>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c r="AA142" s="75"/>
      <c r="AB142" s="75"/>
      <c r="AC142" s="75"/>
      <c r="AD142" s="75"/>
      <c r="AE142" s="75"/>
      <c r="AF142" s="75"/>
      <c r="AG142" s="75"/>
      <c r="AH142" s="75"/>
      <c r="AI142" s="75"/>
      <c r="AJ142" s="75"/>
      <c r="AK142" s="75"/>
      <c r="AL142" s="75"/>
      <c r="AM142" s="75"/>
      <c r="AN142" s="75"/>
      <c r="AO142" s="75"/>
      <c r="AP142" s="75"/>
      <c r="AQ142" s="75"/>
      <c r="AR142" s="75"/>
      <c r="AS142" s="75"/>
      <c r="AT142" s="75"/>
      <c r="AU142" s="75"/>
      <c r="AV142" s="75"/>
      <c r="AW142" s="75"/>
      <c r="AX142" s="75"/>
      <c r="AY142" s="75"/>
      <c r="AZ142" s="75"/>
      <c r="BA142" s="75"/>
      <c r="BB142" s="75"/>
      <c r="BC142" s="75"/>
      <c r="BD142" s="75"/>
      <c r="BE142" s="75"/>
      <c r="BF142" s="75"/>
      <c r="BG142" s="75"/>
      <c r="BH142" s="75"/>
      <c r="BI142" s="75"/>
      <c r="BJ142" s="75"/>
      <c r="BK142" s="75"/>
      <c r="BL142" s="75"/>
      <c r="BM142" s="75"/>
      <c r="BN142" s="75"/>
      <c r="BO142" s="75"/>
      <c r="BP142" s="75"/>
      <c r="BQ142" s="75"/>
      <c r="BR142" s="75"/>
      <c r="BS142" s="75"/>
      <c r="BT142" s="75"/>
      <c r="BU142" s="75"/>
      <c r="BV142" s="75"/>
      <c r="BW142" s="75"/>
      <c r="BX142" s="75"/>
    </row>
    <row r="143">
      <c r="A143" s="76" t="str">
        <f t="shared" si="1"/>
        <v>#REF!</v>
      </c>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c r="AA143" s="75"/>
      <c r="AB143" s="75"/>
      <c r="AC143" s="75"/>
      <c r="AD143" s="75"/>
      <c r="AE143" s="75"/>
      <c r="AF143" s="75"/>
      <c r="AG143" s="75"/>
      <c r="AH143" s="75"/>
      <c r="AI143" s="75"/>
      <c r="AJ143" s="75"/>
      <c r="AK143" s="75"/>
      <c r="AL143" s="75"/>
      <c r="AM143" s="75"/>
      <c r="AN143" s="75"/>
      <c r="AO143" s="75"/>
      <c r="AP143" s="75"/>
      <c r="AQ143" s="75"/>
      <c r="AR143" s="75"/>
      <c r="AS143" s="75"/>
      <c r="AT143" s="75"/>
      <c r="AU143" s="75"/>
      <c r="AV143" s="75"/>
      <c r="AW143" s="75"/>
      <c r="AX143" s="75"/>
      <c r="AY143" s="75"/>
      <c r="AZ143" s="75"/>
      <c r="BA143" s="75"/>
      <c r="BB143" s="75"/>
      <c r="BC143" s="75"/>
      <c r="BD143" s="75"/>
      <c r="BE143" s="75"/>
      <c r="BF143" s="75"/>
      <c r="BG143" s="75"/>
      <c r="BH143" s="75"/>
      <c r="BI143" s="75"/>
      <c r="BJ143" s="75"/>
      <c r="BK143" s="75"/>
      <c r="BL143" s="75"/>
      <c r="BM143" s="75"/>
      <c r="BN143" s="75"/>
      <c r="BO143" s="75"/>
      <c r="BP143" s="75"/>
      <c r="BQ143" s="75"/>
      <c r="BR143" s="75"/>
      <c r="BS143" s="75"/>
      <c r="BT143" s="75"/>
      <c r="BU143" s="75"/>
      <c r="BV143" s="75"/>
      <c r="BW143" s="75"/>
      <c r="BX143" s="75"/>
    </row>
    <row r="144">
      <c r="A144" s="76" t="str">
        <f t="shared" si="1"/>
        <v>#REF!</v>
      </c>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c r="AA144" s="75"/>
      <c r="AB144" s="75"/>
      <c r="AC144" s="75"/>
      <c r="AD144" s="75"/>
      <c r="AE144" s="75"/>
      <c r="AF144" s="75"/>
      <c r="AG144" s="75"/>
      <c r="AH144" s="75"/>
      <c r="AI144" s="75"/>
      <c r="AJ144" s="75"/>
      <c r="AK144" s="75"/>
      <c r="AL144" s="75"/>
      <c r="AM144" s="75"/>
      <c r="AN144" s="75"/>
      <c r="AO144" s="75"/>
      <c r="AP144" s="75"/>
      <c r="AQ144" s="75"/>
      <c r="AR144" s="75"/>
      <c r="AS144" s="75"/>
      <c r="AT144" s="75"/>
      <c r="AU144" s="75"/>
      <c r="AV144" s="75"/>
      <c r="AW144" s="75"/>
      <c r="AX144" s="75"/>
      <c r="AY144" s="75"/>
      <c r="AZ144" s="75"/>
      <c r="BA144" s="75"/>
      <c r="BB144" s="75"/>
      <c r="BC144" s="75"/>
      <c r="BD144" s="75"/>
      <c r="BE144" s="75"/>
      <c r="BF144" s="75"/>
      <c r="BG144" s="75"/>
      <c r="BH144" s="75"/>
      <c r="BI144" s="75"/>
      <c r="BJ144" s="75"/>
      <c r="BK144" s="75"/>
      <c r="BL144" s="75"/>
      <c r="BM144" s="75"/>
      <c r="BN144" s="75"/>
      <c r="BO144" s="75"/>
      <c r="BP144" s="75"/>
      <c r="BQ144" s="75"/>
      <c r="BR144" s="75"/>
      <c r="BS144" s="75"/>
      <c r="BT144" s="75"/>
      <c r="BU144" s="75"/>
      <c r="BV144" s="75"/>
      <c r="BW144" s="75"/>
      <c r="BX144" s="75"/>
    </row>
    <row r="145">
      <c r="A145" s="76" t="str">
        <f t="shared" si="1"/>
        <v>#REF!</v>
      </c>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c r="AA145" s="75"/>
      <c r="AB145" s="75"/>
      <c r="AC145" s="75"/>
      <c r="AD145" s="75"/>
      <c r="AE145" s="75"/>
      <c r="AF145" s="75"/>
      <c r="AG145" s="75"/>
      <c r="AH145" s="75"/>
      <c r="AI145" s="75"/>
      <c r="AJ145" s="75"/>
      <c r="AK145" s="75"/>
      <c r="AL145" s="75"/>
      <c r="AM145" s="75"/>
      <c r="AN145" s="75"/>
      <c r="AO145" s="75"/>
      <c r="AP145" s="75"/>
      <c r="AQ145" s="75"/>
      <c r="AR145" s="75"/>
      <c r="AS145" s="75"/>
      <c r="AT145" s="75"/>
      <c r="AU145" s="75"/>
      <c r="AV145" s="75"/>
      <c r="AW145" s="75"/>
      <c r="AX145" s="75"/>
      <c r="AY145" s="75"/>
      <c r="AZ145" s="75"/>
      <c r="BA145" s="75"/>
      <c r="BB145" s="75"/>
      <c r="BC145" s="75"/>
      <c r="BD145" s="75"/>
      <c r="BE145" s="75"/>
      <c r="BF145" s="75"/>
      <c r="BG145" s="75"/>
      <c r="BH145" s="75"/>
      <c r="BI145" s="75"/>
      <c r="BJ145" s="75"/>
      <c r="BK145" s="75"/>
      <c r="BL145" s="75"/>
      <c r="BM145" s="75"/>
      <c r="BN145" s="75"/>
      <c r="BO145" s="75"/>
      <c r="BP145" s="75"/>
      <c r="BQ145" s="75"/>
      <c r="BR145" s="75"/>
      <c r="BS145" s="75"/>
      <c r="BT145" s="75"/>
      <c r="BU145" s="75"/>
      <c r="BV145" s="75"/>
      <c r="BW145" s="75"/>
      <c r="BX145" s="75"/>
    </row>
    <row r="146">
      <c r="A146" s="76" t="str">
        <f t="shared" si="1"/>
        <v>#REF!</v>
      </c>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c r="AA146" s="75"/>
      <c r="AB146" s="75"/>
      <c r="AC146" s="75"/>
      <c r="AD146" s="75"/>
      <c r="AE146" s="75"/>
      <c r="AF146" s="75"/>
      <c r="AG146" s="75"/>
      <c r="AH146" s="75"/>
      <c r="AI146" s="75"/>
      <c r="AJ146" s="75"/>
      <c r="AK146" s="75"/>
      <c r="AL146" s="75"/>
      <c r="AM146" s="75"/>
      <c r="AN146" s="75"/>
      <c r="AO146" s="75"/>
      <c r="AP146" s="75"/>
      <c r="AQ146" s="75"/>
      <c r="AR146" s="75"/>
      <c r="AS146" s="75"/>
      <c r="AT146" s="75"/>
      <c r="AU146" s="75"/>
      <c r="AV146" s="75"/>
      <c r="AW146" s="75"/>
      <c r="AX146" s="75"/>
      <c r="AY146" s="75"/>
      <c r="AZ146" s="75"/>
      <c r="BA146" s="75"/>
      <c r="BB146" s="75"/>
      <c r="BC146" s="75"/>
      <c r="BD146" s="75"/>
      <c r="BE146" s="75"/>
      <c r="BF146" s="75"/>
      <c r="BG146" s="75"/>
      <c r="BH146" s="75"/>
      <c r="BI146" s="75"/>
      <c r="BJ146" s="75"/>
      <c r="BK146" s="75"/>
      <c r="BL146" s="75"/>
      <c r="BM146" s="75"/>
      <c r="BN146" s="75"/>
      <c r="BO146" s="75"/>
      <c r="BP146" s="75"/>
      <c r="BQ146" s="75"/>
      <c r="BR146" s="75"/>
      <c r="BS146" s="75"/>
      <c r="BT146" s="75"/>
      <c r="BU146" s="75"/>
      <c r="BV146" s="75"/>
      <c r="BW146" s="75"/>
      <c r="BX146" s="75"/>
    </row>
    <row r="147">
      <c r="A147" s="76" t="str">
        <f t="shared" si="1"/>
        <v>#REF!</v>
      </c>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c r="AA147" s="75"/>
      <c r="AB147" s="75"/>
      <c r="AC147" s="75"/>
      <c r="AD147" s="75"/>
      <c r="AE147" s="75"/>
      <c r="AF147" s="75"/>
      <c r="AG147" s="75"/>
      <c r="AH147" s="75"/>
      <c r="AI147" s="75"/>
      <c r="AJ147" s="75"/>
      <c r="AK147" s="75"/>
      <c r="AL147" s="75"/>
      <c r="AM147" s="75"/>
      <c r="AN147" s="75"/>
      <c r="AO147" s="75"/>
      <c r="AP147" s="75"/>
      <c r="AQ147" s="75"/>
      <c r="AR147" s="75"/>
      <c r="AS147" s="75"/>
      <c r="AT147" s="75"/>
      <c r="AU147" s="75"/>
      <c r="AV147" s="75"/>
      <c r="AW147" s="75"/>
      <c r="AX147" s="75"/>
      <c r="AY147" s="75"/>
      <c r="AZ147" s="75"/>
      <c r="BA147" s="75"/>
      <c r="BB147" s="75"/>
      <c r="BC147" s="75"/>
      <c r="BD147" s="75"/>
      <c r="BE147" s="75"/>
      <c r="BF147" s="75"/>
      <c r="BG147" s="75"/>
      <c r="BH147" s="75"/>
      <c r="BI147" s="75"/>
      <c r="BJ147" s="75"/>
      <c r="BK147" s="75"/>
      <c r="BL147" s="75"/>
      <c r="BM147" s="75"/>
      <c r="BN147" s="75"/>
      <c r="BO147" s="75"/>
      <c r="BP147" s="75"/>
      <c r="BQ147" s="75"/>
      <c r="BR147" s="75"/>
      <c r="BS147" s="75"/>
      <c r="BT147" s="75"/>
      <c r="BU147" s="75"/>
      <c r="BV147" s="75"/>
      <c r="BW147" s="75"/>
      <c r="BX147" s="75"/>
    </row>
    <row r="148">
      <c r="A148" s="76" t="str">
        <f t="shared" si="1"/>
        <v>#REF!</v>
      </c>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c r="AA148" s="75"/>
      <c r="AB148" s="75"/>
      <c r="AC148" s="75"/>
      <c r="AD148" s="75"/>
      <c r="AE148" s="75"/>
      <c r="AF148" s="75"/>
      <c r="AG148" s="75"/>
      <c r="AH148" s="75"/>
      <c r="AI148" s="75"/>
      <c r="AJ148" s="75"/>
      <c r="AK148" s="75"/>
      <c r="AL148" s="75"/>
      <c r="AM148" s="75"/>
      <c r="AN148" s="75"/>
      <c r="AO148" s="75"/>
      <c r="AP148" s="75"/>
      <c r="AQ148" s="75"/>
      <c r="AR148" s="75"/>
      <c r="AS148" s="75"/>
      <c r="AT148" s="75"/>
      <c r="AU148" s="75"/>
      <c r="AV148" s="75"/>
      <c r="AW148" s="75"/>
      <c r="AX148" s="75"/>
      <c r="AY148" s="75"/>
      <c r="AZ148" s="75"/>
      <c r="BA148" s="75"/>
      <c r="BB148" s="75"/>
      <c r="BC148" s="75"/>
      <c r="BD148" s="75"/>
      <c r="BE148" s="75"/>
      <c r="BF148" s="75"/>
      <c r="BG148" s="75"/>
      <c r="BH148" s="75"/>
      <c r="BI148" s="75"/>
      <c r="BJ148" s="75"/>
      <c r="BK148" s="75"/>
      <c r="BL148" s="75"/>
      <c r="BM148" s="75"/>
      <c r="BN148" s="75"/>
      <c r="BO148" s="75"/>
      <c r="BP148" s="75"/>
      <c r="BQ148" s="75"/>
      <c r="BR148" s="75"/>
      <c r="BS148" s="75"/>
      <c r="BT148" s="75"/>
      <c r="BU148" s="75"/>
      <c r="BV148" s="75"/>
      <c r="BW148" s="75"/>
      <c r="BX148" s="75"/>
    </row>
    <row r="149">
      <c r="A149" s="76" t="str">
        <f t="shared" si="1"/>
        <v>#REF!</v>
      </c>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c r="AA149" s="75"/>
      <c r="AB149" s="75"/>
      <c r="AC149" s="75"/>
      <c r="AD149" s="75"/>
      <c r="AE149" s="75"/>
      <c r="AF149" s="75"/>
      <c r="AG149" s="75"/>
      <c r="AH149" s="75"/>
      <c r="AI149" s="75"/>
      <c r="AJ149" s="75"/>
      <c r="AK149" s="75"/>
      <c r="AL149" s="75"/>
      <c r="AM149" s="75"/>
      <c r="AN149" s="75"/>
      <c r="AO149" s="75"/>
      <c r="AP149" s="75"/>
      <c r="AQ149" s="75"/>
      <c r="AR149" s="75"/>
      <c r="AS149" s="75"/>
      <c r="AT149" s="75"/>
      <c r="AU149" s="75"/>
      <c r="AV149" s="75"/>
      <c r="AW149" s="75"/>
      <c r="AX149" s="75"/>
      <c r="AY149" s="75"/>
      <c r="AZ149" s="75"/>
      <c r="BA149" s="75"/>
      <c r="BB149" s="75"/>
      <c r="BC149" s="75"/>
      <c r="BD149" s="75"/>
      <c r="BE149" s="75"/>
      <c r="BF149" s="75"/>
      <c r="BG149" s="75"/>
      <c r="BH149" s="75"/>
      <c r="BI149" s="75"/>
      <c r="BJ149" s="75"/>
      <c r="BK149" s="75"/>
      <c r="BL149" s="75"/>
      <c r="BM149" s="75"/>
      <c r="BN149" s="75"/>
      <c r="BO149" s="75"/>
      <c r="BP149" s="75"/>
      <c r="BQ149" s="75"/>
      <c r="BR149" s="75"/>
      <c r="BS149" s="75"/>
      <c r="BT149" s="75"/>
      <c r="BU149" s="75"/>
      <c r="BV149" s="75"/>
      <c r="BW149" s="75"/>
      <c r="BX149" s="75"/>
    </row>
    <row r="150">
      <c r="A150" s="76" t="str">
        <f t="shared" si="1"/>
        <v>#REF!</v>
      </c>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c r="AA150" s="75"/>
      <c r="AB150" s="75"/>
      <c r="AC150" s="75"/>
      <c r="AD150" s="75"/>
      <c r="AE150" s="75"/>
      <c r="AF150" s="75"/>
      <c r="AG150" s="75"/>
      <c r="AH150" s="75"/>
      <c r="AI150" s="75"/>
      <c r="AJ150" s="75"/>
      <c r="AK150" s="75"/>
      <c r="AL150" s="75"/>
      <c r="AM150" s="75"/>
      <c r="AN150" s="75"/>
      <c r="AO150" s="75"/>
      <c r="AP150" s="75"/>
      <c r="AQ150" s="75"/>
      <c r="AR150" s="75"/>
      <c r="AS150" s="75"/>
      <c r="AT150" s="75"/>
      <c r="AU150" s="75"/>
      <c r="AV150" s="75"/>
      <c r="AW150" s="75"/>
      <c r="AX150" s="75"/>
      <c r="AY150" s="75"/>
      <c r="AZ150" s="75"/>
      <c r="BA150" s="75"/>
      <c r="BB150" s="75"/>
      <c r="BC150" s="75"/>
      <c r="BD150" s="75"/>
      <c r="BE150" s="75"/>
      <c r="BF150" s="75"/>
      <c r="BG150" s="75"/>
      <c r="BH150" s="75"/>
      <c r="BI150" s="75"/>
      <c r="BJ150" s="75"/>
      <c r="BK150" s="75"/>
      <c r="BL150" s="75"/>
      <c r="BM150" s="75"/>
      <c r="BN150" s="75"/>
      <c r="BO150" s="75"/>
      <c r="BP150" s="75"/>
      <c r="BQ150" s="75"/>
      <c r="BR150" s="75"/>
      <c r="BS150" s="75"/>
      <c r="BT150" s="75"/>
      <c r="BU150" s="75"/>
      <c r="BV150" s="75"/>
      <c r="BW150" s="75"/>
      <c r="BX150" s="75"/>
    </row>
    <row r="151">
      <c r="A151" s="76" t="str">
        <f t="shared" si="1"/>
        <v>#REF!</v>
      </c>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c r="AA151" s="75"/>
      <c r="AB151" s="75"/>
      <c r="AC151" s="75"/>
      <c r="AD151" s="75"/>
      <c r="AE151" s="75"/>
      <c r="AF151" s="75"/>
      <c r="AG151" s="75"/>
      <c r="AH151" s="75"/>
      <c r="AI151" s="75"/>
      <c r="AJ151" s="75"/>
      <c r="AK151" s="75"/>
      <c r="AL151" s="75"/>
      <c r="AM151" s="75"/>
      <c r="AN151" s="75"/>
      <c r="AO151" s="75"/>
      <c r="AP151" s="75"/>
      <c r="AQ151" s="75"/>
      <c r="AR151" s="75"/>
      <c r="AS151" s="75"/>
      <c r="AT151" s="75"/>
      <c r="AU151" s="75"/>
      <c r="AV151" s="75"/>
      <c r="AW151" s="75"/>
      <c r="AX151" s="75"/>
      <c r="AY151" s="75"/>
      <c r="AZ151" s="75"/>
      <c r="BA151" s="75"/>
      <c r="BB151" s="75"/>
      <c r="BC151" s="75"/>
      <c r="BD151" s="75"/>
      <c r="BE151" s="75"/>
      <c r="BF151" s="75"/>
      <c r="BG151" s="75"/>
      <c r="BH151" s="75"/>
      <c r="BI151" s="75"/>
      <c r="BJ151" s="75"/>
      <c r="BK151" s="75"/>
      <c r="BL151" s="75"/>
      <c r="BM151" s="75"/>
      <c r="BN151" s="75"/>
      <c r="BO151" s="75"/>
      <c r="BP151" s="75"/>
      <c r="BQ151" s="75"/>
      <c r="BR151" s="75"/>
      <c r="BS151" s="75"/>
      <c r="BT151" s="75"/>
      <c r="BU151" s="75"/>
      <c r="BV151" s="75"/>
      <c r="BW151" s="75"/>
      <c r="BX151" s="75"/>
    </row>
    <row r="152">
      <c r="A152" s="76" t="str">
        <f t="shared" si="1"/>
        <v>#REF!</v>
      </c>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c r="AA152" s="75"/>
      <c r="AB152" s="75"/>
      <c r="AC152" s="75"/>
      <c r="AD152" s="75"/>
      <c r="AE152" s="75"/>
      <c r="AF152" s="75"/>
      <c r="AG152" s="75"/>
      <c r="AH152" s="75"/>
      <c r="AI152" s="75"/>
      <c r="AJ152" s="75"/>
      <c r="AK152" s="75"/>
      <c r="AL152" s="75"/>
      <c r="AM152" s="75"/>
      <c r="AN152" s="75"/>
      <c r="AO152" s="75"/>
      <c r="AP152" s="75"/>
      <c r="AQ152" s="75"/>
      <c r="AR152" s="75"/>
      <c r="AS152" s="75"/>
      <c r="AT152" s="75"/>
      <c r="AU152" s="75"/>
      <c r="AV152" s="75"/>
      <c r="AW152" s="75"/>
      <c r="AX152" s="75"/>
      <c r="AY152" s="75"/>
      <c r="AZ152" s="75"/>
      <c r="BA152" s="75"/>
      <c r="BB152" s="75"/>
      <c r="BC152" s="75"/>
      <c r="BD152" s="75"/>
      <c r="BE152" s="75"/>
      <c r="BF152" s="75"/>
      <c r="BG152" s="75"/>
      <c r="BH152" s="75"/>
      <c r="BI152" s="75"/>
      <c r="BJ152" s="75"/>
      <c r="BK152" s="75"/>
      <c r="BL152" s="75"/>
      <c r="BM152" s="75"/>
      <c r="BN152" s="75"/>
      <c r="BO152" s="75"/>
      <c r="BP152" s="75"/>
      <c r="BQ152" s="75"/>
      <c r="BR152" s="75"/>
      <c r="BS152" s="75"/>
      <c r="BT152" s="75"/>
      <c r="BU152" s="75"/>
      <c r="BV152" s="75"/>
      <c r="BW152" s="75"/>
      <c r="BX152" s="75"/>
    </row>
    <row r="153">
      <c r="A153" s="76" t="str">
        <f t="shared" si="1"/>
        <v>#REF!</v>
      </c>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c r="AA153" s="75"/>
      <c r="AB153" s="75"/>
      <c r="AC153" s="75"/>
      <c r="AD153" s="75"/>
      <c r="AE153" s="75"/>
      <c r="AF153" s="75"/>
      <c r="AG153" s="75"/>
      <c r="AH153" s="75"/>
      <c r="AI153" s="75"/>
      <c r="AJ153" s="75"/>
      <c r="AK153" s="75"/>
      <c r="AL153" s="75"/>
      <c r="AM153" s="75"/>
      <c r="AN153" s="75"/>
      <c r="AO153" s="75"/>
      <c r="AP153" s="75"/>
      <c r="AQ153" s="75"/>
      <c r="AR153" s="75"/>
      <c r="AS153" s="75"/>
      <c r="AT153" s="75"/>
      <c r="AU153" s="75"/>
      <c r="AV153" s="75"/>
      <c r="AW153" s="75"/>
      <c r="AX153" s="75"/>
      <c r="AY153" s="75"/>
      <c r="AZ153" s="75"/>
      <c r="BA153" s="75"/>
      <c r="BB153" s="75"/>
      <c r="BC153" s="75"/>
      <c r="BD153" s="75"/>
      <c r="BE153" s="75"/>
      <c r="BF153" s="75"/>
      <c r="BG153" s="75"/>
      <c r="BH153" s="75"/>
      <c r="BI153" s="75"/>
      <c r="BJ153" s="75"/>
      <c r="BK153" s="75"/>
      <c r="BL153" s="75"/>
      <c r="BM153" s="75"/>
      <c r="BN153" s="75"/>
      <c r="BO153" s="75"/>
      <c r="BP153" s="75"/>
      <c r="BQ153" s="75"/>
      <c r="BR153" s="75"/>
      <c r="BS153" s="75"/>
      <c r="BT153" s="75"/>
      <c r="BU153" s="75"/>
      <c r="BV153" s="75"/>
      <c r="BW153" s="75"/>
      <c r="BX153" s="75"/>
    </row>
    <row r="154">
      <c r="A154" s="76" t="str">
        <f t="shared" si="1"/>
        <v>#REF!</v>
      </c>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c r="AA154" s="75"/>
      <c r="AB154" s="75"/>
      <c r="AC154" s="75"/>
      <c r="AD154" s="75"/>
      <c r="AE154" s="75"/>
      <c r="AF154" s="75"/>
      <c r="AG154" s="75"/>
      <c r="AH154" s="75"/>
      <c r="AI154" s="75"/>
      <c r="AJ154" s="75"/>
      <c r="AK154" s="75"/>
      <c r="AL154" s="75"/>
      <c r="AM154" s="75"/>
      <c r="AN154" s="75"/>
      <c r="AO154" s="75"/>
      <c r="AP154" s="75"/>
      <c r="AQ154" s="75"/>
      <c r="AR154" s="75"/>
      <c r="AS154" s="75"/>
      <c r="AT154" s="75"/>
      <c r="AU154" s="75"/>
      <c r="AV154" s="75"/>
      <c r="AW154" s="75"/>
      <c r="AX154" s="75"/>
      <c r="AY154" s="75"/>
      <c r="AZ154" s="75"/>
      <c r="BA154" s="75"/>
      <c r="BB154" s="75"/>
      <c r="BC154" s="75"/>
      <c r="BD154" s="75"/>
      <c r="BE154" s="75"/>
      <c r="BF154" s="75"/>
      <c r="BG154" s="75"/>
      <c r="BH154" s="75"/>
      <c r="BI154" s="75"/>
      <c r="BJ154" s="75"/>
      <c r="BK154" s="75"/>
      <c r="BL154" s="75"/>
      <c r="BM154" s="75"/>
      <c r="BN154" s="75"/>
      <c r="BO154" s="75"/>
      <c r="BP154" s="75"/>
      <c r="BQ154" s="75"/>
      <c r="BR154" s="75"/>
      <c r="BS154" s="75"/>
      <c r="BT154" s="75"/>
      <c r="BU154" s="75"/>
      <c r="BV154" s="75"/>
      <c r="BW154" s="75"/>
      <c r="BX154" s="75"/>
    </row>
    <row r="155">
      <c r="A155" s="76" t="str">
        <f t="shared" si="1"/>
        <v>#REF!</v>
      </c>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c r="AA155" s="75"/>
      <c r="AB155" s="75"/>
      <c r="AC155" s="75"/>
      <c r="AD155" s="75"/>
      <c r="AE155" s="75"/>
      <c r="AF155" s="75"/>
      <c r="AG155" s="75"/>
      <c r="AH155" s="75"/>
      <c r="AI155" s="75"/>
      <c r="AJ155" s="75"/>
      <c r="AK155" s="75"/>
      <c r="AL155" s="75"/>
      <c r="AM155" s="75"/>
      <c r="AN155" s="75"/>
      <c r="AO155" s="75"/>
      <c r="AP155" s="75"/>
      <c r="AQ155" s="75"/>
      <c r="AR155" s="75"/>
      <c r="AS155" s="75"/>
      <c r="AT155" s="75"/>
      <c r="AU155" s="75"/>
      <c r="AV155" s="75"/>
      <c r="AW155" s="75"/>
      <c r="AX155" s="75"/>
      <c r="AY155" s="75"/>
      <c r="AZ155" s="75"/>
      <c r="BA155" s="75"/>
      <c r="BB155" s="75"/>
      <c r="BC155" s="75"/>
      <c r="BD155" s="75"/>
      <c r="BE155" s="75"/>
      <c r="BF155" s="75"/>
      <c r="BG155" s="75"/>
      <c r="BH155" s="75"/>
      <c r="BI155" s="75"/>
      <c r="BJ155" s="75"/>
      <c r="BK155" s="75"/>
      <c r="BL155" s="75"/>
      <c r="BM155" s="75"/>
      <c r="BN155" s="75"/>
      <c r="BO155" s="75"/>
      <c r="BP155" s="75"/>
      <c r="BQ155" s="75"/>
      <c r="BR155" s="75"/>
      <c r="BS155" s="75"/>
      <c r="BT155" s="75"/>
      <c r="BU155" s="75"/>
      <c r="BV155" s="75"/>
      <c r="BW155" s="75"/>
      <c r="BX155" s="75"/>
    </row>
    <row r="156">
      <c r="A156" s="76" t="str">
        <f t="shared" si="1"/>
        <v>#REF!</v>
      </c>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c r="AA156" s="75"/>
      <c r="AB156" s="75"/>
      <c r="AC156" s="75"/>
      <c r="AD156" s="75"/>
      <c r="AE156" s="75"/>
      <c r="AF156" s="75"/>
      <c r="AG156" s="75"/>
      <c r="AH156" s="75"/>
      <c r="AI156" s="75"/>
      <c r="AJ156" s="75"/>
      <c r="AK156" s="75"/>
      <c r="AL156" s="75"/>
      <c r="AM156" s="75"/>
      <c r="AN156" s="75"/>
      <c r="AO156" s="75"/>
      <c r="AP156" s="75"/>
      <c r="AQ156" s="75"/>
      <c r="AR156" s="75"/>
      <c r="AS156" s="75"/>
      <c r="AT156" s="75"/>
      <c r="AU156" s="75"/>
      <c r="AV156" s="75"/>
      <c r="AW156" s="75"/>
      <c r="AX156" s="75"/>
      <c r="AY156" s="75"/>
      <c r="AZ156" s="75"/>
      <c r="BA156" s="75"/>
      <c r="BB156" s="75"/>
      <c r="BC156" s="75"/>
      <c r="BD156" s="75"/>
      <c r="BE156" s="75"/>
      <c r="BF156" s="75"/>
      <c r="BG156" s="75"/>
      <c r="BH156" s="75"/>
      <c r="BI156" s="75"/>
      <c r="BJ156" s="75"/>
      <c r="BK156" s="75"/>
      <c r="BL156" s="75"/>
      <c r="BM156" s="75"/>
      <c r="BN156" s="75"/>
      <c r="BO156" s="75"/>
      <c r="BP156" s="75"/>
      <c r="BQ156" s="75"/>
      <c r="BR156" s="75"/>
      <c r="BS156" s="75"/>
      <c r="BT156" s="75"/>
      <c r="BU156" s="75"/>
      <c r="BV156" s="75"/>
      <c r="BW156" s="75"/>
      <c r="BX156" s="75"/>
    </row>
    <row r="157">
      <c r="A157" s="76" t="str">
        <f t="shared" si="1"/>
        <v>#REF!</v>
      </c>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c r="AA157" s="75"/>
      <c r="AB157" s="75"/>
      <c r="AC157" s="75"/>
      <c r="AD157" s="75"/>
      <c r="AE157" s="75"/>
      <c r="AF157" s="75"/>
      <c r="AG157" s="75"/>
      <c r="AH157" s="75"/>
      <c r="AI157" s="75"/>
      <c r="AJ157" s="75"/>
      <c r="AK157" s="75"/>
      <c r="AL157" s="75"/>
      <c r="AM157" s="75"/>
      <c r="AN157" s="75"/>
      <c r="AO157" s="75"/>
      <c r="AP157" s="75"/>
      <c r="AQ157" s="75"/>
      <c r="AR157" s="75"/>
      <c r="AS157" s="75"/>
      <c r="AT157" s="75"/>
      <c r="AU157" s="75"/>
      <c r="AV157" s="75"/>
      <c r="AW157" s="75"/>
      <c r="AX157" s="75"/>
      <c r="AY157" s="75"/>
      <c r="AZ157" s="75"/>
      <c r="BA157" s="75"/>
      <c r="BB157" s="75"/>
      <c r="BC157" s="75"/>
      <c r="BD157" s="75"/>
      <c r="BE157" s="75"/>
      <c r="BF157" s="75"/>
      <c r="BG157" s="75"/>
      <c r="BH157" s="75"/>
      <c r="BI157" s="75"/>
      <c r="BJ157" s="75"/>
      <c r="BK157" s="75"/>
      <c r="BL157" s="75"/>
      <c r="BM157" s="75"/>
      <c r="BN157" s="75"/>
      <c r="BO157" s="75"/>
      <c r="BP157" s="75"/>
      <c r="BQ157" s="75"/>
      <c r="BR157" s="75"/>
      <c r="BS157" s="75"/>
      <c r="BT157" s="75"/>
      <c r="BU157" s="75"/>
      <c r="BV157" s="75"/>
      <c r="BW157" s="75"/>
      <c r="BX157" s="75"/>
    </row>
    <row r="158">
      <c r="A158" s="76" t="str">
        <f t="shared" si="1"/>
        <v>#REF!</v>
      </c>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c r="AA158" s="75"/>
      <c r="AB158" s="75"/>
      <c r="AC158" s="75"/>
      <c r="AD158" s="75"/>
      <c r="AE158" s="75"/>
      <c r="AF158" s="75"/>
      <c r="AG158" s="75"/>
      <c r="AH158" s="75"/>
      <c r="AI158" s="75"/>
      <c r="AJ158" s="75"/>
      <c r="AK158" s="75"/>
      <c r="AL158" s="75"/>
      <c r="AM158" s="75"/>
      <c r="AN158" s="75"/>
      <c r="AO158" s="75"/>
      <c r="AP158" s="75"/>
      <c r="AQ158" s="75"/>
      <c r="AR158" s="75"/>
      <c r="AS158" s="75"/>
      <c r="AT158" s="75"/>
      <c r="AU158" s="75"/>
      <c r="AV158" s="75"/>
      <c r="AW158" s="75"/>
      <c r="AX158" s="75"/>
      <c r="AY158" s="75"/>
      <c r="AZ158" s="75"/>
      <c r="BA158" s="75"/>
      <c r="BB158" s="75"/>
      <c r="BC158" s="75"/>
      <c r="BD158" s="75"/>
      <c r="BE158" s="75"/>
      <c r="BF158" s="75"/>
      <c r="BG158" s="75"/>
      <c r="BH158" s="75"/>
      <c r="BI158" s="75"/>
      <c r="BJ158" s="75"/>
      <c r="BK158" s="75"/>
      <c r="BL158" s="75"/>
      <c r="BM158" s="75"/>
      <c r="BN158" s="75"/>
      <c r="BO158" s="75"/>
      <c r="BP158" s="75"/>
      <c r="BQ158" s="75"/>
      <c r="BR158" s="75"/>
      <c r="BS158" s="75"/>
      <c r="BT158" s="75"/>
      <c r="BU158" s="75"/>
      <c r="BV158" s="75"/>
      <c r="BW158" s="75"/>
      <c r="BX158" s="75"/>
    </row>
    <row r="159">
      <c r="A159" s="76" t="str">
        <f t="shared" si="1"/>
        <v>#REF!</v>
      </c>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c r="AA159" s="75"/>
      <c r="AB159" s="75"/>
      <c r="AC159" s="75"/>
      <c r="AD159" s="75"/>
      <c r="AE159" s="75"/>
      <c r="AF159" s="75"/>
      <c r="AG159" s="75"/>
      <c r="AH159" s="75"/>
      <c r="AI159" s="75"/>
      <c r="AJ159" s="75"/>
      <c r="AK159" s="75"/>
      <c r="AL159" s="75"/>
      <c r="AM159" s="75"/>
      <c r="AN159" s="75"/>
      <c r="AO159" s="75"/>
      <c r="AP159" s="75"/>
      <c r="AQ159" s="75"/>
      <c r="AR159" s="75"/>
      <c r="AS159" s="75"/>
      <c r="AT159" s="75"/>
      <c r="AU159" s="75"/>
      <c r="AV159" s="75"/>
      <c r="AW159" s="75"/>
      <c r="AX159" s="75"/>
      <c r="AY159" s="75"/>
      <c r="AZ159" s="75"/>
      <c r="BA159" s="75"/>
      <c r="BB159" s="75"/>
      <c r="BC159" s="75"/>
      <c r="BD159" s="75"/>
      <c r="BE159" s="75"/>
      <c r="BF159" s="75"/>
      <c r="BG159" s="75"/>
      <c r="BH159" s="75"/>
      <c r="BI159" s="75"/>
      <c r="BJ159" s="75"/>
      <c r="BK159" s="75"/>
      <c r="BL159" s="75"/>
      <c r="BM159" s="75"/>
      <c r="BN159" s="75"/>
      <c r="BO159" s="75"/>
      <c r="BP159" s="75"/>
      <c r="BQ159" s="75"/>
      <c r="BR159" s="75"/>
      <c r="BS159" s="75"/>
      <c r="BT159" s="75"/>
      <c r="BU159" s="75"/>
      <c r="BV159" s="75"/>
      <c r="BW159" s="75"/>
      <c r="BX159" s="75"/>
    </row>
    <row r="160">
      <c r="A160" s="76" t="str">
        <f t="shared" si="1"/>
        <v>#REF!</v>
      </c>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c r="AA160" s="75"/>
      <c r="AB160" s="75"/>
      <c r="AC160" s="75"/>
      <c r="AD160" s="75"/>
      <c r="AE160" s="75"/>
      <c r="AF160" s="75"/>
      <c r="AG160" s="75"/>
      <c r="AH160" s="75"/>
      <c r="AI160" s="75"/>
      <c r="AJ160" s="75"/>
      <c r="AK160" s="75"/>
      <c r="AL160" s="75"/>
      <c r="AM160" s="75"/>
      <c r="AN160" s="75"/>
      <c r="AO160" s="75"/>
      <c r="AP160" s="75"/>
      <c r="AQ160" s="75"/>
      <c r="AR160" s="75"/>
      <c r="AS160" s="75"/>
      <c r="AT160" s="75"/>
      <c r="AU160" s="75"/>
      <c r="AV160" s="75"/>
      <c r="AW160" s="75"/>
      <c r="AX160" s="75"/>
      <c r="AY160" s="75"/>
      <c r="AZ160" s="75"/>
      <c r="BA160" s="75"/>
      <c r="BB160" s="75"/>
      <c r="BC160" s="75"/>
      <c r="BD160" s="75"/>
      <c r="BE160" s="75"/>
      <c r="BF160" s="75"/>
      <c r="BG160" s="75"/>
      <c r="BH160" s="75"/>
      <c r="BI160" s="75"/>
      <c r="BJ160" s="75"/>
      <c r="BK160" s="75"/>
      <c r="BL160" s="75"/>
      <c r="BM160" s="75"/>
      <c r="BN160" s="75"/>
      <c r="BO160" s="75"/>
      <c r="BP160" s="75"/>
      <c r="BQ160" s="75"/>
      <c r="BR160" s="75"/>
      <c r="BS160" s="75"/>
      <c r="BT160" s="75"/>
      <c r="BU160" s="75"/>
      <c r="BV160" s="75"/>
      <c r="BW160" s="75"/>
      <c r="BX160" s="75"/>
    </row>
    <row r="161">
      <c r="A161" s="76" t="str">
        <f t="shared" si="1"/>
        <v>#REF!</v>
      </c>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c r="AA161" s="75"/>
      <c r="AB161" s="75"/>
      <c r="AC161" s="75"/>
      <c r="AD161" s="75"/>
      <c r="AE161" s="75"/>
      <c r="AF161" s="75"/>
      <c r="AG161" s="75"/>
      <c r="AH161" s="75"/>
      <c r="AI161" s="75"/>
      <c r="AJ161" s="75"/>
      <c r="AK161" s="75"/>
      <c r="AL161" s="75"/>
      <c r="AM161" s="75"/>
      <c r="AN161" s="75"/>
      <c r="AO161" s="75"/>
      <c r="AP161" s="75"/>
      <c r="AQ161" s="75"/>
      <c r="AR161" s="75"/>
      <c r="AS161" s="75"/>
      <c r="AT161" s="75"/>
      <c r="AU161" s="75"/>
      <c r="AV161" s="75"/>
      <c r="AW161" s="75"/>
      <c r="AX161" s="75"/>
      <c r="AY161" s="75"/>
      <c r="AZ161" s="75"/>
      <c r="BA161" s="75"/>
      <c r="BB161" s="75"/>
      <c r="BC161" s="75"/>
      <c r="BD161" s="75"/>
      <c r="BE161" s="75"/>
      <c r="BF161" s="75"/>
      <c r="BG161" s="75"/>
      <c r="BH161" s="75"/>
      <c r="BI161" s="75"/>
      <c r="BJ161" s="75"/>
      <c r="BK161" s="75"/>
      <c r="BL161" s="75"/>
      <c r="BM161" s="75"/>
      <c r="BN161" s="75"/>
      <c r="BO161" s="75"/>
      <c r="BP161" s="75"/>
      <c r="BQ161" s="75"/>
      <c r="BR161" s="75"/>
      <c r="BS161" s="75"/>
      <c r="BT161" s="75"/>
      <c r="BU161" s="75"/>
      <c r="BV161" s="75"/>
      <c r="BW161" s="75"/>
      <c r="BX161" s="75"/>
    </row>
    <row r="162">
      <c r="A162" s="76" t="str">
        <f t="shared" si="1"/>
        <v>#REF!</v>
      </c>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c r="AA162" s="75"/>
      <c r="AB162" s="75"/>
      <c r="AC162" s="75"/>
      <c r="AD162" s="75"/>
      <c r="AE162" s="75"/>
      <c r="AF162" s="75"/>
      <c r="AG162" s="75"/>
      <c r="AH162" s="75"/>
      <c r="AI162" s="75"/>
      <c r="AJ162" s="75"/>
      <c r="AK162" s="75"/>
      <c r="AL162" s="75"/>
      <c r="AM162" s="75"/>
      <c r="AN162" s="75"/>
      <c r="AO162" s="75"/>
      <c r="AP162" s="75"/>
      <c r="AQ162" s="75"/>
      <c r="AR162" s="75"/>
      <c r="AS162" s="75"/>
      <c r="AT162" s="75"/>
      <c r="AU162" s="75"/>
      <c r="AV162" s="75"/>
      <c r="AW162" s="75"/>
      <c r="AX162" s="75"/>
      <c r="AY162" s="75"/>
      <c r="AZ162" s="75"/>
      <c r="BA162" s="75"/>
      <c r="BB162" s="75"/>
      <c r="BC162" s="75"/>
      <c r="BD162" s="75"/>
      <c r="BE162" s="75"/>
      <c r="BF162" s="75"/>
      <c r="BG162" s="75"/>
      <c r="BH162" s="75"/>
      <c r="BI162" s="75"/>
      <c r="BJ162" s="75"/>
      <c r="BK162" s="75"/>
      <c r="BL162" s="75"/>
      <c r="BM162" s="75"/>
      <c r="BN162" s="75"/>
      <c r="BO162" s="75"/>
      <c r="BP162" s="75"/>
      <c r="BQ162" s="75"/>
      <c r="BR162" s="75"/>
      <c r="BS162" s="75"/>
      <c r="BT162" s="75"/>
      <c r="BU162" s="75"/>
      <c r="BV162" s="75"/>
      <c r="BW162" s="75"/>
      <c r="BX162" s="75"/>
    </row>
    <row r="163">
      <c r="A163" s="76" t="str">
        <f t="shared" si="1"/>
        <v>#REF!</v>
      </c>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c r="BS163" s="75"/>
      <c r="BT163" s="75"/>
      <c r="BU163" s="75"/>
      <c r="BV163" s="75"/>
      <c r="BW163" s="75"/>
      <c r="BX163" s="75"/>
    </row>
    <row r="164">
      <c r="A164" s="76" t="str">
        <f t="shared" si="1"/>
        <v>#REF!</v>
      </c>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c r="AA164" s="75"/>
      <c r="AB164" s="75"/>
      <c r="AC164" s="75"/>
      <c r="AD164" s="75"/>
      <c r="AE164" s="75"/>
      <c r="AF164" s="75"/>
      <c r="AG164" s="75"/>
      <c r="AH164" s="75"/>
      <c r="AI164" s="75"/>
      <c r="AJ164" s="75"/>
      <c r="AK164" s="75"/>
      <c r="AL164" s="75"/>
      <c r="AM164" s="75"/>
      <c r="AN164" s="75"/>
      <c r="AO164" s="75"/>
      <c r="AP164" s="75"/>
      <c r="AQ164" s="75"/>
      <c r="AR164" s="75"/>
      <c r="AS164" s="75"/>
      <c r="AT164" s="75"/>
      <c r="AU164" s="75"/>
      <c r="AV164" s="75"/>
      <c r="AW164" s="75"/>
      <c r="AX164" s="75"/>
      <c r="AY164" s="75"/>
      <c r="AZ164" s="75"/>
      <c r="BA164" s="75"/>
      <c r="BB164" s="75"/>
      <c r="BC164" s="75"/>
      <c r="BD164" s="75"/>
      <c r="BE164" s="75"/>
      <c r="BF164" s="75"/>
      <c r="BG164" s="75"/>
      <c r="BH164" s="75"/>
      <c r="BI164" s="75"/>
      <c r="BJ164" s="75"/>
      <c r="BK164" s="75"/>
      <c r="BL164" s="75"/>
      <c r="BM164" s="75"/>
      <c r="BN164" s="75"/>
      <c r="BO164" s="75"/>
      <c r="BP164" s="75"/>
      <c r="BQ164" s="75"/>
      <c r="BR164" s="75"/>
      <c r="BS164" s="75"/>
      <c r="BT164" s="75"/>
      <c r="BU164" s="75"/>
      <c r="BV164" s="75"/>
      <c r="BW164" s="75"/>
      <c r="BX164" s="75"/>
    </row>
    <row r="165">
      <c r="A165" s="76" t="str">
        <f t="shared" si="1"/>
        <v>#REF!</v>
      </c>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c r="AA165" s="75"/>
      <c r="AB165" s="75"/>
      <c r="AC165" s="75"/>
      <c r="AD165" s="75"/>
      <c r="AE165" s="75"/>
      <c r="AF165" s="75"/>
      <c r="AG165" s="75"/>
      <c r="AH165" s="75"/>
      <c r="AI165" s="75"/>
      <c r="AJ165" s="75"/>
      <c r="AK165" s="75"/>
      <c r="AL165" s="75"/>
      <c r="AM165" s="75"/>
      <c r="AN165" s="75"/>
      <c r="AO165" s="75"/>
      <c r="AP165" s="75"/>
      <c r="AQ165" s="75"/>
      <c r="AR165" s="75"/>
      <c r="AS165" s="75"/>
      <c r="AT165" s="75"/>
      <c r="AU165" s="75"/>
      <c r="AV165" s="75"/>
      <c r="AW165" s="75"/>
      <c r="AX165" s="75"/>
      <c r="AY165" s="75"/>
      <c r="AZ165" s="75"/>
      <c r="BA165" s="75"/>
      <c r="BB165" s="75"/>
      <c r="BC165" s="75"/>
      <c r="BD165" s="75"/>
      <c r="BE165" s="75"/>
      <c r="BF165" s="75"/>
      <c r="BG165" s="75"/>
      <c r="BH165" s="75"/>
      <c r="BI165" s="75"/>
      <c r="BJ165" s="75"/>
      <c r="BK165" s="75"/>
      <c r="BL165" s="75"/>
      <c r="BM165" s="75"/>
      <c r="BN165" s="75"/>
      <c r="BO165" s="75"/>
      <c r="BP165" s="75"/>
      <c r="BQ165" s="75"/>
      <c r="BR165" s="75"/>
      <c r="BS165" s="75"/>
      <c r="BT165" s="75"/>
      <c r="BU165" s="75"/>
      <c r="BV165" s="75"/>
      <c r="BW165" s="75"/>
      <c r="BX165" s="75"/>
    </row>
    <row r="166">
      <c r="A166" s="76" t="str">
        <f t="shared" si="1"/>
        <v>#REF!</v>
      </c>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c r="AA166" s="75"/>
      <c r="AB166" s="75"/>
      <c r="AC166" s="75"/>
      <c r="AD166" s="75"/>
      <c r="AE166" s="75"/>
      <c r="AF166" s="75"/>
      <c r="AG166" s="75"/>
      <c r="AH166" s="75"/>
      <c r="AI166" s="75"/>
      <c r="AJ166" s="75"/>
      <c r="AK166" s="75"/>
      <c r="AL166" s="75"/>
      <c r="AM166" s="75"/>
      <c r="AN166" s="75"/>
      <c r="AO166" s="75"/>
      <c r="AP166" s="75"/>
      <c r="AQ166" s="75"/>
      <c r="AR166" s="75"/>
      <c r="AS166" s="75"/>
      <c r="AT166" s="75"/>
      <c r="AU166" s="75"/>
      <c r="AV166" s="75"/>
      <c r="AW166" s="75"/>
      <c r="AX166" s="75"/>
      <c r="AY166" s="75"/>
      <c r="AZ166" s="75"/>
      <c r="BA166" s="75"/>
      <c r="BB166" s="75"/>
      <c r="BC166" s="75"/>
      <c r="BD166" s="75"/>
      <c r="BE166" s="75"/>
      <c r="BF166" s="75"/>
      <c r="BG166" s="75"/>
      <c r="BH166" s="75"/>
      <c r="BI166" s="75"/>
      <c r="BJ166" s="75"/>
      <c r="BK166" s="75"/>
      <c r="BL166" s="75"/>
      <c r="BM166" s="75"/>
      <c r="BN166" s="75"/>
      <c r="BO166" s="75"/>
      <c r="BP166" s="75"/>
      <c r="BQ166" s="75"/>
      <c r="BR166" s="75"/>
      <c r="BS166" s="75"/>
      <c r="BT166" s="75"/>
      <c r="BU166" s="75"/>
      <c r="BV166" s="75"/>
      <c r="BW166" s="75"/>
      <c r="BX166" s="75"/>
    </row>
    <row r="167">
      <c r="A167" s="76" t="str">
        <f t="shared" si="1"/>
        <v>#REF!</v>
      </c>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c r="AA167" s="75"/>
      <c r="AB167" s="75"/>
      <c r="AC167" s="75"/>
      <c r="AD167" s="75"/>
      <c r="AE167" s="75"/>
      <c r="AF167" s="75"/>
      <c r="AG167" s="75"/>
      <c r="AH167" s="75"/>
      <c r="AI167" s="75"/>
      <c r="AJ167" s="75"/>
      <c r="AK167" s="75"/>
      <c r="AL167" s="75"/>
      <c r="AM167" s="75"/>
      <c r="AN167" s="75"/>
      <c r="AO167" s="75"/>
      <c r="AP167" s="75"/>
      <c r="AQ167" s="75"/>
      <c r="AR167" s="75"/>
      <c r="AS167" s="75"/>
      <c r="AT167" s="75"/>
      <c r="AU167" s="75"/>
      <c r="AV167" s="75"/>
      <c r="AW167" s="75"/>
      <c r="AX167" s="75"/>
      <c r="AY167" s="75"/>
      <c r="AZ167" s="75"/>
      <c r="BA167" s="75"/>
      <c r="BB167" s="75"/>
      <c r="BC167" s="75"/>
      <c r="BD167" s="75"/>
      <c r="BE167" s="75"/>
      <c r="BF167" s="75"/>
      <c r="BG167" s="75"/>
      <c r="BH167" s="75"/>
      <c r="BI167" s="75"/>
      <c r="BJ167" s="75"/>
      <c r="BK167" s="75"/>
      <c r="BL167" s="75"/>
      <c r="BM167" s="75"/>
      <c r="BN167" s="75"/>
      <c r="BO167" s="75"/>
      <c r="BP167" s="75"/>
      <c r="BQ167" s="75"/>
      <c r="BR167" s="75"/>
      <c r="BS167" s="75"/>
      <c r="BT167" s="75"/>
      <c r="BU167" s="75"/>
      <c r="BV167" s="75"/>
      <c r="BW167" s="75"/>
      <c r="BX167" s="75"/>
    </row>
    <row r="168">
      <c r="A168" s="76" t="str">
        <f t="shared" si="1"/>
        <v>#REF!</v>
      </c>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c r="AA168" s="75"/>
      <c r="AB168" s="75"/>
      <c r="AC168" s="75"/>
      <c r="AD168" s="75"/>
      <c r="AE168" s="75"/>
      <c r="AF168" s="75"/>
      <c r="AG168" s="75"/>
      <c r="AH168" s="75"/>
      <c r="AI168" s="75"/>
      <c r="AJ168" s="75"/>
      <c r="AK168" s="75"/>
      <c r="AL168" s="75"/>
      <c r="AM168" s="75"/>
      <c r="AN168" s="75"/>
      <c r="AO168" s="75"/>
      <c r="AP168" s="75"/>
      <c r="AQ168" s="75"/>
      <c r="AR168" s="75"/>
      <c r="AS168" s="75"/>
      <c r="AT168" s="75"/>
      <c r="AU168" s="75"/>
      <c r="AV168" s="75"/>
      <c r="AW168" s="75"/>
      <c r="AX168" s="75"/>
      <c r="AY168" s="75"/>
      <c r="AZ168" s="75"/>
      <c r="BA168" s="75"/>
      <c r="BB168" s="75"/>
      <c r="BC168" s="75"/>
      <c r="BD168" s="75"/>
      <c r="BE168" s="75"/>
      <c r="BF168" s="75"/>
      <c r="BG168" s="75"/>
      <c r="BH168" s="75"/>
      <c r="BI168" s="75"/>
      <c r="BJ168" s="75"/>
      <c r="BK168" s="75"/>
      <c r="BL168" s="75"/>
      <c r="BM168" s="75"/>
      <c r="BN168" s="75"/>
      <c r="BO168" s="75"/>
      <c r="BP168" s="75"/>
      <c r="BQ168" s="75"/>
      <c r="BR168" s="75"/>
      <c r="BS168" s="75"/>
      <c r="BT168" s="75"/>
      <c r="BU168" s="75"/>
      <c r="BV168" s="75"/>
      <c r="BW168" s="75"/>
      <c r="BX168" s="75"/>
    </row>
    <row r="169">
      <c r="A169" s="76" t="str">
        <f t="shared" si="1"/>
        <v>#REF!</v>
      </c>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c r="AA169" s="75"/>
      <c r="AB169" s="75"/>
      <c r="AC169" s="75"/>
      <c r="AD169" s="75"/>
      <c r="AE169" s="75"/>
      <c r="AF169" s="75"/>
      <c r="AG169" s="75"/>
      <c r="AH169" s="75"/>
      <c r="AI169" s="75"/>
      <c r="AJ169" s="75"/>
      <c r="AK169" s="75"/>
      <c r="AL169" s="75"/>
      <c r="AM169" s="75"/>
      <c r="AN169" s="75"/>
      <c r="AO169" s="75"/>
      <c r="AP169" s="75"/>
      <c r="AQ169" s="75"/>
      <c r="AR169" s="75"/>
      <c r="AS169" s="75"/>
      <c r="AT169" s="75"/>
      <c r="AU169" s="75"/>
      <c r="AV169" s="75"/>
      <c r="AW169" s="75"/>
      <c r="AX169" s="75"/>
      <c r="AY169" s="75"/>
      <c r="AZ169" s="75"/>
      <c r="BA169" s="75"/>
      <c r="BB169" s="75"/>
      <c r="BC169" s="75"/>
      <c r="BD169" s="75"/>
      <c r="BE169" s="75"/>
      <c r="BF169" s="75"/>
      <c r="BG169" s="75"/>
      <c r="BH169" s="75"/>
      <c r="BI169" s="75"/>
      <c r="BJ169" s="75"/>
      <c r="BK169" s="75"/>
      <c r="BL169" s="75"/>
      <c r="BM169" s="75"/>
      <c r="BN169" s="75"/>
      <c r="BO169" s="75"/>
      <c r="BP169" s="75"/>
      <c r="BQ169" s="75"/>
      <c r="BR169" s="75"/>
      <c r="BS169" s="75"/>
      <c r="BT169" s="75"/>
      <c r="BU169" s="75"/>
      <c r="BV169" s="75"/>
      <c r="BW169" s="75"/>
      <c r="BX169" s="75"/>
    </row>
    <row r="170">
      <c r="A170" s="76" t="str">
        <f t="shared" si="1"/>
        <v>#REF!</v>
      </c>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c r="AA170" s="75"/>
      <c r="AB170" s="75"/>
      <c r="AC170" s="75"/>
      <c r="AD170" s="75"/>
      <c r="AE170" s="75"/>
      <c r="AF170" s="75"/>
      <c r="AG170" s="75"/>
      <c r="AH170" s="75"/>
      <c r="AI170" s="75"/>
      <c r="AJ170" s="75"/>
      <c r="AK170" s="75"/>
      <c r="AL170" s="75"/>
      <c r="AM170" s="75"/>
      <c r="AN170" s="75"/>
      <c r="AO170" s="75"/>
      <c r="AP170" s="75"/>
      <c r="AQ170" s="75"/>
      <c r="AR170" s="75"/>
      <c r="AS170" s="75"/>
      <c r="AT170" s="75"/>
      <c r="AU170" s="75"/>
      <c r="AV170" s="75"/>
      <c r="AW170" s="75"/>
      <c r="AX170" s="75"/>
      <c r="AY170" s="75"/>
      <c r="AZ170" s="75"/>
      <c r="BA170" s="75"/>
      <c r="BB170" s="75"/>
      <c r="BC170" s="75"/>
      <c r="BD170" s="75"/>
      <c r="BE170" s="75"/>
      <c r="BF170" s="75"/>
      <c r="BG170" s="75"/>
      <c r="BH170" s="75"/>
      <c r="BI170" s="75"/>
      <c r="BJ170" s="75"/>
      <c r="BK170" s="75"/>
      <c r="BL170" s="75"/>
      <c r="BM170" s="75"/>
      <c r="BN170" s="75"/>
      <c r="BO170" s="75"/>
      <c r="BP170" s="75"/>
      <c r="BQ170" s="75"/>
      <c r="BR170" s="75"/>
      <c r="BS170" s="75"/>
      <c r="BT170" s="75"/>
      <c r="BU170" s="75"/>
      <c r="BV170" s="75"/>
      <c r="BW170" s="75"/>
      <c r="BX170" s="75"/>
    </row>
    <row r="171">
      <c r="A171" s="76" t="str">
        <f t="shared" si="1"/>
        <v>#REF!</v>
      </c>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c r="AA171" s="75"/>
      <c r="AB171" s="75"/>
      <c r="AC171" s="75"/>
      <c r="AD171" s="75"/>
      <c r="AE171" s="75"/>
      <c r="AF171" s="75"/>
      <c r="AG171" s="75"/>
      <c r="AH171" s="75"/>
      <c r="AI171" s="75"/>
      <c r="AJ171" s="75"/>
      <c r="AK171" s="75"/>
      <c r="AL171" s="75"/>
      <c r="AM171" s="75"/>
      <c r="AN171" s="75"/>
      <c r="AO171" s="75"/>
      <c r="AP171" s="75"/>
      <c r="AQ171" s="75"/>
      <c r="AR171" s="75"/>
      <c r="AS171" s="75"/>
      <c r="AT171" s="75"/>
      <c r="AU171" s="75"/>
      <c r="AV171" s="75"/>
      <c r="AW171" s="75"/>
      <c r="AX171" s="75"/>
      <c r="AY171" s="75"/>
      <c r="AZ171" s="75"/>
      <c r="BA171" s="75"/>
      <c r="BB171" s="75"/>
      <c r="BC171" s="75"/>
      <c r="BD171" s="75"/>
      <c r="BE171" s="75"/>
      <c r="BF171" s="75"/>
      <c r="BG171" s="75"/>
      <c r="BH171" s="75"/>
      <c r="BI171" s="75"/>
      <c r="BJ171" s="75"/>
      <c r="BK171" s="75"/>
      <c r="BL171" s="75"/>
      <c r="BM171" s="75"/>
      <c r="BN171" s="75"/>
      <c r="BO171" s="75"/>
      <c r="BP171" s="75"/>
      <c r="BQ171" s="75"/>
      <c r="BR171" s="75"/>
      <c r="BS171" s="75"/>
      <c r="BT171" s="75"/>
      <c r="BU171" s="75"/>
      <c r="BV171" s="75"/>
      <c r="BW171" s="75"/>
      <c r="BX171" s="75"/>
    </row>
    <row r="172">
      <c r="A172" s="76" t="str">
        <f t="shared" si="1"/>
        <v>#REF!</v>
      </c>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c r="AA172" s="75"/>
      <c r="AB172" s="75"/>
      <c r="AC172" s="75"/>
      <c r="AD172" s="75"/>
      <c r="AE172" s="75"/>
      <c r="AF172" s="75"/>
      <c r="AG172" s="75"/>
      <c r="AH172" s="75"/>
      <c r="AI172" s="75"/>
      <c r="AJ172" s="75"/>
      <c r="AK172" s="75"/>
      <c r="AL172" s="75"/>
      <c r="AM172" s="75"/>
      <c r="AN172" s="75"/>
      <c r="AO172" s="75"/>
      <c r="AP172" s="75"/>
      <c r="AQ172" s="75"/>
      <c r="AR172" s="75"/>
      <c r="AS172" s="75"/>
      <c r="AT172" s="75"/>
      <c r="AU172" s="75"/>
      <c r="AV172" s="75"/>
      <c r="AW172" s="75"/>
      <c r="AX172" s="75"/>
      <c r="AY172" s="75"/>
      <c r="AZ172" s="75"/>
      <c r="BA172" s="75"/>
      <c r="BB172" s="75"/>
      <c r="BC172" s="75"/>
      <c r="BD172" s="75"/>
      <c r="BE172" s="75"/>
      <c r="BF172" s="75"/>
      <c r="BG172" s="75"/>
      <c r="BH172" s="75"/>
      <c r="BI172" s="75"/>
      <c r="BJ172" s="75"/>
      <c r="BK172" s="75"/>
      <c r="BL172" s="75"/>
      <c r="BM172" s="75"/>
      <c r="BN172" s="75"/>
      <c r="BO172" s="75"/>
      <c r="BP172" s="75"/>
      <c r="BQ172" s="75"/>
      <c r="BR172" s="75"/>
      <c r="BS172" s="75"/>
      <c r="BT172" s="75"/>
      <c r="BU172" s="75"/>
      <c r="BV172" s="75"/>
      <c r="BW172" s="75"/>
      <c r="BX172" s="75"/>
    </row>
    <row r="173">
      <c r="A173" s="76" t="str">
        <f t="shared" si="1"/>
        <v>#REF!</v>
      </c>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c r="AA173" s="75"/>
      <c r="AB173" s="75"/>
      <c r="AC173" s="75"/>
      <c r="AD173" s="75"/>
      <c r="AE173" s="75"/>
      <c r="AF173" s="75"/>
      <c r="AG173" s="75"/>
      <c r="AH173" s="75"/>
      <c r="AI173" s="75"/>
      <c r="AJ173" s="75"/>
      <c r="AK173" s="75"/>
      <c r="AL173" s="75"/>
      <c r="AM173" s="75"/>
      <c r="AN173" s="75"/>
      <c r="AO173" s="75"/>
      <c r="AP173" s="75"/>
      <c r="AQ173" s="75"/>
      <c r="AR173" s="75"/>
      <c r="AS173" s="75"/>
      <c r="AT173" s="75"/>
      <c r="AU173" s="75"/>
      <c r="AV173" s="75"/>
      <c r="AW173" s="75"/>
      <c r="AX173" s="75"/>
      <c r="AY173" s="75"/>
      <c r="AZ173" s="75"/>
      <c r="BA173" s="75"/>
      <c r="BB173" s="75"/>
      <c r="BC173" s="75"/>
      <c r="BD173" s="75"/>
      <c r="BE173" s="75"/>
      <c r="BF173" s="75"/>
      <c r="BG173" s="75"/>
      <c r="BH173" s="75"/>
      <c r="BI173" s="75"/>
      <c r="BJ173" s="75"/>
      <c r="BK173" s="75"/>
      <c r="BL173" s="75"/>
      <c r="BM173" s="75"/>
      <c r="BN173" s="75"/>
      <c r="BO173" s="75"/>
      <c r="BP173" s="75"/>
      <c r="BQ173" s="75"/>
      <c r="BR173" s="75"/>
      <c r="BS173" s="75"/>
      <c r="BT173" s="75"/>
      <c r="BU173" s="75"/>
      <c r="BV173" s="75"/>
      <c r="BW173" s="75"/>
      <c r="BX173" s="75"/>
    </row>
    <row r="174">
      <c r="A174" s="76" t="str">
        <f t="shared" si="1"/>
        <v>#REF!</v>
      </c>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c r="AA174" s="75"/>
      <c r="AB174" s="75"/>
      <c r="AC174" s="75"/>
      <c r="AD174" s="75"/>
      <c r="AE174" s="75"/>
      <c r="AF174" s="75"/>
      <c r="AG174" s="75"/>
      <c r="AH174" s="75"/>
      <c r="AI174" s="75"/>
      <c r="AJ174" s="75"/>
      <c r="AK174" s="75"/>
      <c r="AL174" s="75"/>
      <c r="AM174" s="75"/>
      <c r="AN174" s="75"/>
      <c r="AO174" s="75"/>
      <c r="AP174" s="75"/>
      <c r="AQ174" s="75"/>
      <c r="AR174" s="75"/>
      <c r="AS174" s="75"/>
      <c r="AT174" s="75"/>
      <c r="AU174" s="75"/>
      <c r="AV174" s="75"/>
      <c r="AW174" s="75"/>
      <c r="AX174" s="75"/>
      <c r="AY174" s="75"/>
      <c r="AZ174" s="75"/>
      <c r="BA174" s="75"/>
      <c r="BB174" s="75"/>
      <c r="BC174" s="75"/>
      <c r="BD174" s="75"/>
      <c r="BE174" s="75"/>
      <c r="BF174" s="75"/>
      <c r="BG174" s="75"/>
      <c r="BH174" s="75"/>
      <c r="BI174" s="75"/>
      <c r="BJ174" s="75"/>
      <c r="BK174" s="75"/>
      <c r="BL174" s="75"/>
      <c r="BM174" s="75"/>
      <c r="BN174" s="75"/>
      <c r="BO174" s="75"/>
      <c r="BP174" s="75"/>
      <c r="BQ174" s="75"/>
      <c r="BR174" s="75"/>
      <c r="BS174" s="75"/>
      <c r="BT174" s="75"/>
      <c r="BU174" s="75"/>
      <c r="BV174" s="75"/>
      <c r="BW174" s="75"/>
      <c r="BX174" s="75"/>
    </row>
    <row r="175">
      <c r="A175" s="76" t="str">
        <f t="shared" si="1"/>
        <v>#REF!</v>
      </c>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c r="AA175" s="75"/>
      <c r="AB175" s="75"/>
      <c r="AC175" s="75"/>
      <c r="AD175" s="75"/>
      <c r="AE175" s="75"/>
      <c r="AF175" s="75"/>
      <c r="AG175" s="75"/>
      <c r="AH175" s="75"/>
      <c r="AI175" s="75"/>
      <c r="AJ175" s="75"/>
      <c r="AK175" s="75"/>
      <c r="AL175" s="75"/>
      <c r="AM175" s="75"/>
      <c r="AN175" s="75"/>
      <c r="AO175" s="75"/>
      <c r="AP175" s="75"/>
      <c r="AQ175" s="75"/>
      <c r="AR175" s="75"/>
      <c r="AS175" s="75"/>
      <c r="AT175" s="75"/>
      <c r="AU175" s="75"/>
      <c r="AV175" s="75"/>
      <c r="AW175" s="75"/>
      <c r="AX175" s="75"/>
      <c r="AY175" s="75"/>
      <c r="AZ175" s="75"/>
      <c r="BA175" s="75"/>
      <c r="BB175" s="75"/>
      <c r="BC175" s="75"/>
      <c r="BD175" s="75"/>
      <c r="BE175" s="75"/>
      <c r="BF175" s="75"/>
      <c r="BG175" s="75"/>
      <c r="BH175" s="75"/>
      <c r="BI175" s="75"/>
      <c r="BJ175" s="75"/>
      <c r="BK175" s="75"/>
      <c r="BL175" s="75"/>
      <c r="BM175" s="75"/>
      <c r="BN175" s="75"/>
      <c r="BO175" s="75"/>
      <c r="BP175" s="75"/>
      <c r="BQ175" s="75"/>
      <c r="BR175" s="75"/>
      <c r="BS175" s="75"/>
      <c r="BT175" s="75"/>
      <c r="BU175" s="75"/>
      <c r="BV175" s="75"/>
      <c r="BW175" s="75"/>
      <c r="BX175" s="75"/>
    </row>
    <row r="176">
      <c r="A176" s="76" t="str">
        <f t="shared" si="1"/>
        <v>#REF!</v>
      </c>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c r="AA176" s="75"/>
      <c r="AB176" s="75"/>
      <c r="AC176" s="75"/>
      <c r="AD176" s="75"/>
      <c r="AE176" s="75"/>
      <c r="AF176" s="75"/>
      <c r="AG176" s="75"/>
      <c r="AH176" s="75"/>
      <c r="AI176" s="75"/>
      <c r="AJ176" s="75"/>
      <c r="AK176" s="75"/>
      <c r="AL176" s="75"/>
      <c r="AM176" s="75"/>
      <c r="AN176" s="75"/>
      <c r="AO176" s="75"/>
      <c r="AP176" s="75"/>
      <c r="AQ176" s="75"/>
      <c r="AR176" s="75"/>
      <c r="AS176" s="75"/>
      <c r="AT176" s="75"/>
      <c r="AU176" s="75"/>
      <c r="AV176" s="75"/>
      <c r="AW176" s="75"/>
      <c r="AX176" s="75"/>
      <c r="AY176" s="75"/>
      <c r="AZ176" s="75"/>
      <c r="BA176" s="75"/>
      <c r="BB176" s="75"/>
      <c r="BC176" s="75"/>
      <c r="BD176" s="75"/>
      <c r="BE176" s="75"/>
      <c r="BF176" s="75"/>
      <c r="BG176" s="75"/>
      <c r="BH176" s="75"/>
      <c r="BI176" s="75"/>
      <c r="BJ176" s="75"/>
      <c r="BK176" s="75"/>
      <c r="BL176" s="75"/>
      <c r="BM176" s="75"/>
      <c r="BN176" s="75"/>
      <c r="BO176" s="75"/>
      <c r="BP176" s="75"/>
      <c r="BQ176" s="75"/>
      <c r="BR176" s="75"/>
      <c r="BS176" s="75"/>
      <c r="BT176" s="75"/>
      <c r="BU176" s="75"/>
      <c r="BV176" s="75"/>
      <c r="BW176" s="75"/>
      <c r="BX176" s="75"/>
    </row>
    <row r="177">
      <c r="A177" s="76" t="str">
        <f t="shared" si="1"/>
        <v>#REF!</v>
      </c>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c r="AA177" s="75"/>
      <c r="AB177" s="75"/>
      <c r="AC177" s="75"/>
      <c r="AD177" s="75"/>
      <c r="AE177" s="75"/>
      <c r="AF177" s="75"/>
      <c r="AG177" s="75"/>
      <c r="AH177" s="75"/>
      <c r="AI177" s="75"/>
      <c r="AJ177" s="75"/>
      <c r="AK177" s="75"/>
      <c r="AL177" s="75"/>
      <c r="AM177" s="75"/>
      <c r="AN177" s="75"/>
      <c r="AO177" s="75"/>
      <c r="AP177" s="75"/>
      <c r="AQ177" s="75"/>
      <c r="AR177" s="75"/>
      <c r="AS177" s="75"/>
      <c r="AT177" s="75"/>
      <c r="AU177" s="75"/>
      <c r="AV177" s="75"/>
      <c r="AW177" s="75"/>
      <c r="AX177" s="75"/>
      <c r="AY177" s="75"/>
      <c r="AZ177" s="75"/>
      <c r="BA177" s="75"/>
      <c r="BB177" s="75"/>
      <c r="BC177" s="75"/>
      <c r="BD177" s="75"/>
      <c r="BE177" s="75"/>
      <c r="BF177" s="75"/>
      <c r="BG177" s="75"/>
      <c r="BH177" s="75"/>
      <c r="BI177" s="75"/>
      <c r="BJ177" s="75"/>
      <c r="BK177" s="75"/>
      <c r="BL177" s="75"/>
      <c r="BM177" s="75"/>
      <c r="BN177" s="75"/>
      <c r="BO177" s="75"/>
      <c r="BP177" s="75"/>
      <c r="BQ177" s="75"/>
      <c r="BR177" s="75"/>
      <c r="BS177" s="75"/>
      <c r="BT177" s="75"/>
      <c r="BU177" s="75"/>
      <c r="BV177" s="75"/>
      <c r="BW177" s="75"/>
      <c r="BX177" s="75"/>
    </row>
    <row r="178">
      <c r="A178" s="76" t="str">
        <f t="shared" si="1"/>
        <v>#REF!</v>
      </c>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c r="AA178" s="75"/>
      <c r="AB178" s="75"/>
      <c r="AC178" s="75"/>
      <c r="AD178" s="75"/>
      <c r="AE178" s="75"/>
      <c r="AF178" s="75"/>
      <c r="AG178" s="75"/>
      <c r="AH178" s="75"/>
      <c r="AI178" s="75"/>
      <c r="AJ178" s="75"/>
      <c r="AK178" s="75"/>
      <c r="AL178" s="75"/>
      <c r="AM178" s="75"/>
      <c r="AN178" s="75"/>
      <c r="AO178" s="75"/>
      <c r="AP178" s="75"/>
      <c r="AQ178" s="75"/>
      <c r="AR178" s="75"/>
      <c r="AS178" s="75"/>
      <c r="AT178" s="75"/>
      <c r="AU178" s="75"/>
      <c r="AV178" s="75"/>
      <c r="AW178" s="75"/>
      <c r="AX178" s="75"/>
      <c r="AY178" s="75"/>
      <c r="AZ178" s="75"/>
      <c r="BA178" s="75"/>
      <c r="BB178" s="75"/>
      <c r="BC178" s="75"/>
      <c r="BD178" s="75"/>
      <c r="BE178" s="75"/>
      <c r="BF178" s="75"/>
      <c r="BG178" s="75"/>
      <c r="BH178" s="75"/>
      <c r="BI178" s="75"/>
      <c r="BJ178" s="75"/>
      <c r="BK178" s="75"/>
      <c r="BL178" s="75"/>
      <c r="BM178" s="75"/>
      <c r="BN178" s="75"/>
      <c r="BO178" s="75"/>
      <c r="BP178" s="75"/>
      <c r="BQ178" s="75"/>
      <c r="BR178" s="75"/>
      <c r="BS178" s="75"/>
      <c r="BT178" s="75"/>
      <c r="BU178" s="75"/>
      <c r="BV178" s="75"/>
      <c r="BW178" s="75"/>
      <c r="BX178" s="75"/>
    </row>
    <row r="179">
      <c r="A179" s="76" t="str">
        <f t="shared" si="1"/>
        <v>#REF!</v>
      </c>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c r="AA179" s="75"/>
      <c r="AB179" s="75"/>
      <c r="AC179" s="75"/>
      <c r="AD179" s="75"/>
      <c r="AE179" s="75"/>
      <c r="AF179" s="75"/>
      <c r="AG179" s="75"/>
      <c r="AH179" s="75"/>
      <c r="AI179" s="75"/>
      <c r="AJ179" s="75"/>
      <c r="AK179" s="75"/>
      <c r="AL179" s="75"/>
      <c r="AM179" s="75"/>
      <c r="AN179" s="75"/>
      <c r="AO179" s="75"/>
      <c r="AP179" s="75"/>
      <c r="AQ179" s="75"/>
      <c r="AR179" s="75"/>
      <c r="AS179" s="75"/>
      <c r="AT179" s="75"/>
      <c r="AU179" s="75"/>
      <c r="AV179" s="75"/>
      <c r="AW179" s="75"/>
      <c r="AX179" s="75"/>
      <c r="AY179" s="75"/>
      <c r="AZ179" s="75"/>
      <c r="BA179" s="75"/>
      <c r="BB179" s="75"/>
      <c r="BC179" s="75"/>
      <c r="BD179" s="75"/>
      <c r="BE179" s="75"/>
      <c r="BF179" s="75"/>
      <c r="BG179" s="75"/>
      <c r="BH179" s="75"/>
      <c r="BI179" s="75"/>
      <c r="BJ179" s="75"/>
      <c r="BK179" s="75"/>
      <c r="BL179" s="75"/>
      <c r="BM179" s="75"/>
      <c r="BN179" s="75"/>
      <c r="BO179" s="75"/>
      <c r="BP179" s="75"/>
      <c r="BQ179" s="75"/>
      <c r="BR179" s="75"/>
      <c r="BS179" s="75"/>
      <c r="BT179" s="75"/>
      <c r="BU179" s="75"/>
      <c r="BV179" s="75"/>
      <c r="BW179" s="75"/>
      <c r="BX179" s="75"/>
    </row>
    <row r="180">
      <c r="A180" s="76" t="str">
        <f t="shared" si="1"/>
        <v>#REF!</v>
      </c>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c r="AA180" s="75"/>
      <c r="AB180" s="75"/>
      <c r="AC180" s="75"/>
      <c r="AD180" s="75"/>
      <c r="AE180" s="75"/>
      <c r="AF180" s="75"/>
      <c r="AG180" s="75"/>
      <c r="AH180" s="75"/>
      <c r="AI180" s="75"/>
      <c r="AJ180" s="75"/>
      <c r="AK180" s="75"/>
      <c r="AL180" s="75"/>
      <c r="AM180" s="75"/>
      <c r="AN180" s="75"/>
      <c r="AO180" s="75"/>
      <c r="AP180" s="75"/>
      <c r="AQ180" s="75"/>
      <c r="AR180" s="75"/>
      <c r="AS180" s="75"/>
      <c r="AT180" s="75"/>
      <c r="AU180" s="75"/>
      <c r="AV180" s="75"/>
      <c r="AW180" s="75"/>
      <c r="AX180" s="75"/>
      <c r="AY180" s="75"/>
      <c r="AZ180" s="75"/>
      <c r="BA180" s="75"/>
      <c r="BB180" s="75"/>
      <c r="BC180" s="75"/>
      <c r="BD180" s="75"/>
      <c r="BE180" s="75"/>
      <c r="BF180" s="75"/>
      <c r="BG180" s="75"/>
      <c r="BH180" s="75"/>
      <c r="BI180" s="75"/>
      <c r="BJ180" s="75"/>
      <c r="BK180" s="75"/>
      <c r="BL180" s="75"/>
      <c r="BM180" s="75"/>
      <c r="BN180" s="75"/>
      <c r="BO180" s="75"/>
      <c r="BP180" s="75"/>
      <c r="BQ180" s="75"/>
      <c r="BR180" s="75"/>
      <c r="BS180" s="75"/>
      <c r="BT180" s="75"/>
      <c r="BU180" s="75"/>
      <c r="BV180" s="75"/>
      <c r="BW180" s="75"/>
      <c r="BX180" s="75"/>
    </row>
    <row r="181">
      <c r="A181" s="76" t="str">
        <f t="shared" si="1"/>
        <v>#REF!</v>
      </c>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c r="AA181" s="75"/>
      <c r="AB181" s="75"/>
      <c r="AC181" s="75"/>
      <c r="AD181" s="75"/>
      <c r="AE181" s="75"/>
      <c r="AF181" s="75"/>
      <c r="AG181" s="75"/>
      <c r="AH181" s="75"/>
      <c r="AI181" s="75"/>
      <c r="AJ181" s="75"/>
      <c r="AK181" s="75"/>
      <c r="AL181" s="75"/>
      <c r="AM181" s="75"/>
      <c r="AN181" s="75"/>
      <c r="AO181" s="75"/>
      <c r="AP181" s="75"/>
      <c r="AQ181" s="75"/>
      <c r="AR181" s="75"/>
      <c r="AS181" s="75"/>
      <c r="AT181" s="75"/>
      <c r="AU181" s="75"/>
      <c r="AV181" s="75"/>
      <c r="AW181" s="75"/>
      <c r="AX181" s="75"/>
      <c r="AY181" s="75"/>
      <c r="AZ181" s="75"/>
      <c r="BA181" s="75"/>
      <c r="BB181" s="75"/>
      <c r="BC181" s="75"/>
      <c r="BD181" s="75"/>
      <c r="BE181" s="75"/>
      <c r="BF181" s="75"/>
      <c r="BG181" s="75"/>
      <c r="BH181" s="75"/>
      <c r="BI181" s="75"/>
      <c r="BJ181" s="75"/>
      <c r="BK181" s="75"/>
      <c r="BL181" s="75"/>
      <c r="BM181" s="75"/>
      <c r="BN181" s="75"/>
      <c r="BO181" s="75"/>
      <c r="BP181" s="75"/>
      <c r="BQ181" s="75"/>
      <c r="BR181" s="75"/>
      <c r="BS181" s="75"/>
      <c r="BT181" s="75"/>
      <c r="BU181" s="75"/>
      <c r="BV181" s="75"/>
      <c r="BW181" s="75"/>
      <c r="BX181" s="75"/>
    </row>
    <row r="182">
      <c r="A182" s="76" t="str">
        <f t="shared" si="1"/>
        <v>#REF!</v>
      </c>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c r="AA182" s="75"/>
      <c r="AB182" s="75"/>
      <c r="AC182" s="75"/>
      <c r="AD182" s="75"/>
      <c r="AE182" s="75"/>
      <c r="AF182" s="75"/>
      <c r="AG182" s="75"/>
      <c r="AH182" s="75"/>
      <c r="AI182" s="75"/>
      <c r="AJ182" s="75"/>
      <c r="AK182" s="75"/>
      <c r="AL182" s="75"/>
      <c r="AM182" s="75"/>
      <c r="AN182" s="75"/>
      <c r="AO182" s="75"/>
      <c r="AP182" s="75"/>
      <c r="AQ182" s="75"/>
      <c r="AR182" s="75"/>
      <c r="AS182" s="75"/>
      <c r="AT182" s="75"/>
      <c r="AU182" s="75"/>
      <c r="AV182" s="75"/>
      <c r="AW182" s="75"/>
      <c r="AX182" s="75"/>
      <c r="AY182" s="75"/>
      <c r="AZ182" s="75"/>
      <c r="BA182" s="75"/>
      <c r="BB182" s="75"/>
      <c r="BC182" s="75"/>
      <c r="BD182" s="75"/>
      <c r="BE182" s="75"/>
      <c r="BF182" s="75"/>
      <c r="BG182" s="75"/>
      <c r="BH182" s="75"/>
      <c r="BI182" s="75"/>
      <c r="BJ182" s="75"/>
      <c r="BK182" s="75"/>
      <c r="BL182" s="75"/>
      <c r="BM182" s="75"/>
      <c r="BN182" s="75"/>
      <c r="BO182" s="75"/>
      <c r="BP182" s="75"/>
      <c r="BQ182" s="75"/>
      <c r="BR182" s="75"/>
      <c r="BS182" s="75"/>
      <c r="BT182" s="75"/>
      <c r="BU182" s="75"/>
      <c r="BV182" s="75"/>
      <c r="BW182" s="75"/>
      <c r="BX182" s="75"/>
    </row>
    <row r="183">
      <c r="A183" s="76" t="str">
        <f t="shared" si="1"/>
        <v>#REF!</v>
      </c>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c r="AA183" s="75"/>
      <c r="AB183" s="75"/>
      <c r="AC183" s="75"/>
      <c r="AD183" s="75"/>
      <c r="AE183" s="75"/>
      <c r="AF183" s="75"/>
      <c r="AG183" s="75"/>
      <c r="AH183" s="75"/>
      <c r="AI183" s="75"/>
      <c r="AJ183" s="75"/>
      <c r="AK183" s="75"/>
      <c r="AL183" s="75"/>
      <c r="AM183" s="75"/>
      <c r="AN183" s="75"/>
      <c r="AO183" s="75"/>
      <c r="AP183" s="75"/>
      <c r="AQ183" s="75"/>
      <c r="AR183" s="75"/>
      <c r="AS183" s="75"/>
      <c r="AT183" s="75"/>
      <c r="AU183" s="75"/>
      <c r="AV183" s="75"/>
      <c r="AW183" s="75"/>
      <c r="AX183" s="75"/>
      <c r="AY183" s="75"/>
      <c r="AZ183" s="75"/>
      <c r="BA183" s="75"/>
      <c r="BB183" s="75"/>
      <c r="BC183" s="75"/>
      <c r="BD183" s="75"/>
      <c r="BE183" s="75"/>
      <c r="BF183" s="75"/>
      <c r="BG183" s="75"/>
      <c r="BH183" s="75"/>
      <c r="BI183" s="75"/>
      <c r="BJ183" s="75"/>
      <c r="BK183" s="75"/>
      <c r="BL183" s="75"/>
      <c r="BM183" s="75"/>
      <c r="BN183" s="75"/>
      <c r="BO183" s="75"/>
      <c r="BP183" s="75"/>
      <c r="BQ183" s="75"/>
      <c r="BR183" s="75"/>
      <c r="BS183" s="75"/>
      <c r="BT183" s="75"/>
      <c r="BU183" s="75"/>
      <c r="BV183" s="75"/>
      <c r="BW183" s="75"/>
      <c r="BX183" s="75"/>
    </row>
    <row r="184">
      <c r="A184" s="76" t="str">
        <f t="shared" si="1"/>
        <v>#REF!</v>
      </c>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c r="AA184" s="75"/>
      <c r="AB184" s="75"/>
      <c r="AC184" s="75"/>
      <c r="AD184" s="75"/>
      <c r="AE184" s="75"/>
      <c r="AF184" s="75"/>
      <c r="AG184" s="75"/>
      <c r="AH184" s="75"/>
      <c r="AI184" s="75"/>
      <c r="AJ184" s="75"/>
      <c r="AK184" s="75"/>
      <c r="AL184" s="75"/>
      <c r="AM184" s="75"/>
      <c r="AN184" s="75"/>
      <c r="AO184" s="75"/>
      <c r="AP184" s="75"/>
      <c r="AQ184" s="75"/>
      <c r="AR184" s="75"/>
      <c r="AS184" s="75"/>
      <c r="AT184" s="75"/>
      <c r="AU184" s="75"/>
      <c r="AV184" s="75"/>
      <c r="AW184" s="75"/>
      <c r="AX184" s="75"/>
      <c r="AY184" s="75"/>
      <c r="AZ184" s="75"/>
      <c r="BA184" s="75"/>
      <c r="BB184" s="75"/>
      <c r="BC184" s="75"/>
      <c r="BD184" s="75"/>
      <c r="BE184" s="75"/>
      <c r="BF184" s="75"/>
      <c r="BG184" s="75"/>
      <c r="BH184" s="75"/>
      <c r="BI184" s="75"/>
      <c r="BJ184" s="75"/>
      <c r="BK184" s="75"/>
      <c r="BL184" s="75"/>
      <c r="BM184" s="75"/>
      <c r="BN184" s="75"/>
      <c r="BO184" s="75"/>
      <c r="BP184" s="75"/>
      <c r="BQ184" s="75"/>
      <c r="BR184" s="75"/>
      <c r="BS184" s="75"/>
      <c r="BT184" s="75"/>
      <c r="BU184" s="75"/>
      <c r="BV184" s="75"/>
      <c r="BW184" s="75"/>
      <c r="BX184" s="75"/>
    </row>
    <row r="185">
      <c r="A185" s="76" t="str">
        <f t="shared" si="1"/>
        <v>#REF!</v>
      </c>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c r="AA185" s="75"/>
      <c r="AB185" s="75"/>
      <c r="AC185" s="75"/>
      <c r="AD185" s="75"/>
      <c r="AE185" s="75"/>
      <c r="AF185" s="75"/>
      <c r="AG185" s="75"/>
      <c r="AH185" s="75"/>
      <c r="AI185" s="75"/>
      <c r="AJ185" s="75"/>
      <c r="AK185" s="75"/>
      <c r="AL185" s="75"/>
      <c r="AM185" s="75"/>
      <c r="AN185" s="75"/>
      <c r="AO185" s="75"/>
      <c r="AP185" s="75"/>
      <c r="AQ185" s="75"/>
      <c r="AR185" s="75"/>
      <c r="AS185" s="75"/>
      <c r="AT185" s="75"/>
      <c r="AU185" s="75"/>
      <c r="AV185" s="75"/>
      <c r="AW185" s="75"/>
      <c r="AX185" s="75"/>
      <c r="AY185" s="75"/>
      <c r="AZ185" s="75"/>
      <c r="BA185" s="75"/>
      <c r="BB185" s="75"/>
      <c r="BC185" s="75"/>
      <c r="BD185" s="75"/>
      <c r="BE185" s="75"/>
      <c r="BF185" s="75"/>
      <c r="BG185" s="75"/>
      <c r="BH185" s="75"/>
      <c r="BI185" s="75"/>
      <c r="BJ185" s="75"/>
      <c r="BK185" s="75"/>
      <c r="BL185" s="75"/>
      <c r="BM185" s="75"/>
      <c r="BN185" s="75"/>
      <c r="BO185" s="75"/>
      <c r="BP185" s="75"/>
      <c r="BQ185" s="75"/>
      <c r="BR185" s="75"/>
      <c r="BS185" s="75"/>
      <c r="BT185" s="75"/>
      <c r="BU185" s="75"/>
      <c r="BV185" s="75"/>
      <c r="BW185" s="75"/>
      <c r="BX185" s="75"/>
    </row>
    <row r="186">
      <c r="A186" s="76" t="str">
        <f t="shared" si="1"/>
        <v>#REF!</v>
      </c>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row>
    <row r="187">
      <c r="A187" s="76" t="str">
        <f t="shared" si="1"/>
        <v>#REF!</v>
      </c>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c r="AA187" s="75"/>
      <c r="AB187" s="75"/>
      <c r="AC187" s="75"/>
      <c r="AD187" s="75"/>
      <c r="AE187" s="75"/>
      <c r="AF187" s="75"/>
      <c r="AG187" s="75"/>
      <c r="AH187" s="75"/>
      <c r="AI187" s="75"/>
      <c r="AJ187" s="75"/>
      <c r="AK187" s="75"/>
      <c r="AL187" s="75"/>
      <c r="AM187" s="75"/>
      <c r="AN187" s="75"/>
      <c r="AO187" s="75"/>
      <c r="AP187" s="75"/>
      <c r="AQ187" s="75"/>
      <c r="AR187" s="75"/>
      <c r="AS187" s="75"/>
      <c r="AT187" s="75"/>
      <c r="AU187" s="75"/>
      <c r="AV187" s="75"/>
      <c r="AW187" s="75"/>
      <c r="AX187" s="75"/>
      <c r="AY187" s="75"/>
      <c r="AZ187" s="75"/>
      <c r="BA187" s="75"/>
      <c r="BB187" s="75"/>
      <c r="BC187" s="75"/>
      <c r="BD187" s="75"/>
      <c r="BE187" s="75"/>
      <c r="BF187" s="75"/>
      <c r="BG187" s="75"/>
      <c r="BH187" s="75"/>
      <c r="BI187" s="75"/>
      <c r="BJ187" s="75"/>
      <c r="BK187" s="75"/>
      <c r="BL187" s="75"/>
      <c r="BM187" s="75"/>
      <c r="BN187" s="75"/>
      <c r="BO187" s="75"/>
      <c r="BP187" s="75"/>
      <c r="BQ187" s="75"/>
      <c r="BR187" s="75"/>
      <c r="BS187" s="75"/>
      <c r="BT187" s="75"/>
      <c r="BU187" s="75"/>
      <c r="BV187" s="75"/>
      <c r="BW187" s="75"/>
      <c r="BX187" s="75"/>
    </row>
    <row r="188">
      <c r="A188" s="76" t="str">
        <f t="shared" si="1"/>
        <v>#REF!</v>
      </c>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c r="AA188" s="75"/>
      <c r="AB188" s="75"/>
      <c r="AC188" s="75"/>
      <c r="AD188" s="75"/>
      <c r="AE188" s="75"/>
      <c r="AF188" s="75"/>
      <c r="AG188" s="75"/>
      <c r="AH188" s="75"/>
      <c r="AI188" s="75"/>
      <c r="AJ188" s="75"/>
      <c r="AK188" s="75"/>
      <c r="AL188" s="75"/>
      <c r="AM188" s="75"/>
      <c r="AN188" s="75"/>
      <c r="AO188" s="75"/>
      <c r="AP188" s="75"/>
      <c r="AQ188" s="75"/>
      <c r="AR188" s="75"/>
      <c r="AS188" s="75"/>
      <c r="AT188" s="75"/>
      <c r="AU188" s="75"/>
      <c r="AV188" s="75"/>
      <c r="AW188" s="75"/>
      <c r="AX188" s="75"/>
      <c r="AY188" s="75"/>
      <c r="AZ188" s="75"/>
      <c r="BA188" s="75"/>
      <c r="BB188" s="75"/>
      <c r="BC188" s="75"/>
      <c r="BD188" s="75"/>
      <c r="BE188" s="75"/>
      <c r="BF188" s="75"/>
      <c r="BG188" s="75"/>
      <c r="BH188" s="75"/>
      <c r="BI188" s="75"/>
      <c r="BJ188" s="75"/>
      <c r="BK188" s="75"/>
      <c r="BL188" s="75"/>
      <c r="BM188" s="75"/>
      <c r="BN188" s="75"/>
      <c r="BO188" s="75"/>
      <c r="BP188" s="75"/>
      <c r="BQ188" s="75"/>
      <c r="BR188" s="75"/>
      <c r="BS188" s="75"/>
      <c r="BT188" s="75"/>
      <c r="BU188" s="75"/>
      <c r="BV188" s="75"/>
      <c r="BW188" s="75"/>
      <c r="BX188" s="75"/>
    </row>
    <row r="189">
      <c r="A189" s="76" t="str">
        <f t="shared" si="1"/>
        <v>#REF!</v>
      </c>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c r="AA189" s="75"/>
      <c r="AB189" s="75"/>
      <c r="AC189" s="75"/>
      <c r="AD189" s="75"/>
      <c r="AE189" s="75"/>
      <c r="AF189" s="75"/>
      <c r="AG189" s="75"/>
      <c r="AH189" s="75"/>
      <c r="AI189" s="75"/>
      <c r="AJ189" s="75"/>
      <c r="AK189" s="75"/>
      <c r="AL189" s="75"/>
      <c r="AM189" s="75"/>
      <c r="AN189" s="75"/>
      <c r="AO189" s="75"/>
      <c r="AP189" s="75"/>
      <c r="AQ189" s="75"/>
      <c r="AR189" s="75"/>
      <c r="AS189" s="75"/>
      <c r="AT189" s="75"/>
      <c r="AU189" s="75"/>
      <c r="AV189" s="75"/>
      <c r="AW189" s="75"/>
      <c r="AX189" s="75"/>
      <c r="AY189" s="75"/>
      <c r="AZ189" s="75"/>
      <c r="BA189" s="75"/>
      <c r="BB189" s="75"/>
      <c r="BC189" s="75"/>
      <c r="BD189" s="75"/>
      <c r="BE189" s="75"/>
      <c r="BF189" s="75"/>
      <c r="BG189" s="75"/>
      <c r="BH189" s="75"/>
      <c r="BI189" s="75"/>
      <c r="BJ189" s="75"/>
      <c r="BK189" s="75"/>
      <c r="BL189" s="75"/>
      <c r="BM189" s="75"/>
      <c r="BN189" s="75"/>
      <c r="BO189" s="75"/>
      <c r="BP189" s="75"/>
      <c r="BQ189" s="75"/>
      <c r="BR189" s="75"/>
      <c r="BS189" s="75"/>
      <c r="BT189" s="75"/>
      <c r="BU189" s="75"/>
      <c r="BV189" s="75"/>
      <c r="BW189" s="75"/>
      <c r="BX189" s="75"/>
    </row>
    <row r="190">
      <c r="A190" s="76" t="str">
        <f t="shared" si="1"/>
        <v>#REF!</v>
      </c>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c r="AA190" s="75"/>
      <c r="AB190" s="75"/>
      <c r="AC190" s="75"/>
      <c r="AD190" s="75"/>
      <c r="AE190" s="75"/>
      <c r="AF190" s="75"/>
      <c r="AG190" s="75"/>
      <c r="AH190" s="75"/>
      <c r="AI190" s="75"/>
      <c r="AJ190" s="75"/>
      <c r="AK190" s="75"/>
      <c r="AL190" s="75"/>
      <c r="AM190" s="75"/>
      <c r="AN190" s="75"/>
      <c r="AO190" s="75"/>
      <c r="AP190" s="75"/>
      <c r="AQ190" s="75"/>
      <c r="AR190" s="75"/>
      <c r="AS190" s="75"/>
      <c r="AT190" s="75"/>
      <c r="AU190" s="75"/>
      <c r="AV190" s="75"/>
      <c r="AW190" s="75"/>
      <c r="AX190" s="75"/>
      <c r="AY190" s="75"/>
      <c r="AZ190" s="75"/>
      <c r="BA190" s="75"/>
      <c r="BB190" s="75"/>
      <c r="BC190" s="75"/>
      <c r="BD190" s="75"/>
      <c r="BE190" s="75"/>
      <c r="BF190" s="75"/>
      <c r="BG190" s="75"/>
      <c r="BH190" s="75"/>
      <c r="BI190" s="75"/>
      <c r="BJ190" s="75"/>
      <c r="BK190" s="75"/>
      <c r="BL190" s="75"/>
      <c r="BM190" s="75"/>
      <c r="BN190" s="75"/>
      <c r="BO190" s="75"/>
      <c r="BP190" s="75"/>
      <c r="BQ190" s="75"/>
      <c r="BR190" s="75"/>
      <c r="BS190" s="75"/>
      <c r="BT190" s="75"/>
      <c r="BU190" s="75"/>
      <c r="BV190" s="75"/>
      <c r="BW190" s="75"/>
      <c r="BX190" s="75"/>
    </row>
    <row r="191">
      <c r="A191" s="76" t="str">
        <f t="shared" si="1"/>
        <v>#REF!</v>
      </c>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c r="AA191" s="75"/>
      <c r="AB191" s="75"/>
      <c r="AC191" s="75"/>
      <c r="AD191" s="75"/>
      <c r="AE191" s="75"/>
      <c r="AF191" s="75"/>
      <c r="AG191" s="75"/>
      <c r="AH191" s="75"/>
      <c r="AI191" s="75"/>
      <c r="AJ191" s="75"/>
      <c r="AK191" s="75"/>
      <c r="AL191" s="75"/>
      <c r="AM191" s="75"/>
      <c r="AN191" s="75"/>
      <c r="AO191" s="75"/>
      <c r="AP191" s="75"/>
      <c r="AQ191" s="75"/>
      <c r="AR191" s="75"/>
      <c r="AS191" s="75"/>
      <c r="AT191" s="75"/>
      <c r="AU191" s="75"/>
      <c r="AV191" s="75"/>
      <c r="AW191" s="75"/>
      <c r="AX191" s="75"/>
      <c r="AY191" s="75"/>
      <c r="AZ191" s="75"/>
      <c r="BA191" s="75"/>
      <c r="BB191" s="75"/>
      <c r="BC191" s="75"/>
      <c r="BD191" s="75"/>
      <c r="BE191" s="75"/>
      <c r="BF191" s="75"/>
      <c r="BG191" s="75"/>
      <c r="BH191" s="75"/>
      <c r="BI191" s="75"/>
      <c r="BJ191" s="75"/>
      <c r="BK191" s="75"/>
      <c r="BL191" s="75"/>
      <c r="BM191" s="75"/>
      <c r="BN191" s="75"/>
      <c r="BO191" s="75"/>
      <c r="BP191" s="75"/>
      <c r="BQ191" s="75"/>
      <c r="BR191" s="75"/>
      <c r="BS191" s="75"/>
      <c r="BT191" s="75"/>
      <c r="BU191" s="75"/>
      <c r="BV191" s="75"/>
      <c r="BW191" s="75"/>
      <c r="BX191" s="75"/>
    </row>
    <row r="192">
      <c r="A192" s="76" t="str">
        <f t="shared" si="1"/>
        <v>#REF!</v>
      </c>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c r="AA192" s="75"/>
      <c r="AB192" s="75"/>
      <c r="AC192" s="75"/>
      <c r="AD192" s="75"/>
      <c r="AE192" s="75"/>
      <c r="AF192" s="75"/>
      <c r="AG192" s="75"/>
      <c r="AH192" s="75"/>
      <c r="AI192" s="75"/>
      <c r="AJ192" s="75"/>
      <c r="AK192" s="75"/>
      <c r="AL192" s="75"/>
      <c r="AM192" s="75"/>
      <c r="AN192" s="75"/>
      <c r="AO192" s="75"/>
      <c r="AP192" s="75"/>
      <c r="AQ192" s="75"/>
      <c r="AR192" s="75"/>
      <c r="AS192" s="75"/>
      <c r="AT192" s="75"/>
      <c r="AU192" s="75"/>
      <c r="AV192" s="75"/>
      <c r="AW192" s="75"/>
      <c r="AX192" s="75"/>
      <c r="AY192" s="75"/>
      <c r="AZ192" s="75"/>
      <c r="BA192" s="75"/>
      <c r="BB192" s="75"/>
      <c r="BC192" s="75"/>
      <c r="BD192" s="75"/>
      <c r="BE192" s="75"/>
      <c r="BF192" s="75"/>
      <c r="BG192" s="75"/>
      <c r="BH192" s="75"/>
      <c r="BI192" s="75"/>
      <c r="BJ192" s="75"/>
      <c r="BK192" s="75"/>
      <c r="BL192" s="75"/>
      <c r="BM192" s="75"/>
      <c r="BN192" s="75"/>
      <c r="BO192" s="75"/>
      <c r="BP192" s="75"/>
      <c r="BQ192" s="75"/>
      <c r="BR192" s="75"/>
      <c r="BS192" s="75"/>
      <c r="BT192" s="75"/>
      <c r="BU192" s="75"/>
      <c r="BV192" s="75"/>
      <c r="BW192" s="75"/>
      <c r="BX192" s="75"/>
    </row>
    <row r="193">
      <c r="A193" s="76" t="str">
        <f t="shared" si="1"/>
        <v>#REF!</v>
      </c>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c r="AA193" s="75"/>
      <c r="AB193" s="75"/>
      <c r="AC193" s="75"/>
      <c r="AD193" s="75"/>
      <c r="AE193" s="75"/>
      <c r="AF193" s="75"/>
      <c r="AG193" s="75"/>
      <c r="AH193" s="75"/>
      <c r="AI193" s="75"/>
      <c r="AJ193" s="75"/>
      <c r="AK193" s="75"/>
      <c r="AL193" s="75"/>
      <c r="AM193" s="75"/>
      <c r="AN193" s="75"/>
      <c r="AO193" s="75"/>
      <c r="AP193" s="75"/>
      <c r="AQ193" s="75"/>
      <c r="AR193" s="75"/>
      <c r="AS193" s="75"/>
      <c r="AT193" s="75"/>
      <c r="AU193" s="75"/>
      <c r="AV193" s="75"/>
      <c r="AW193" s="75"/>
      <c r="AX193" s="75"/>
      <c r="AY193" s="75"/>
      <c r="AZ193" s="75"/>
      <c r="BA193" s="75"/>
      <c r="BB193" s="75"/>
      <c r="BC193" s="75"/>
      <c r="BD193" s="75"/>
      <c r="BE193" s="75"/>
      <c r="BF193" s="75"/>
      <c r="BG193" s="75"/>
      <c r="BH193" s="75"/>
      <c r="BI193" s="75"/>
      <c r="BJ193" s="75"/>
      <c r="BK193" s="75"/>
      <c r="BL193" s="75"/>
      <c r="BM193" s="75"/>
      <c r="BN193" s="75"/>
      <c r="BO193" s="75"/>
      <c r="BP193" s="75"/>
      <c r="BQ193" s="75"/>
      <c r="BR193" s="75"/>
      <c r="BS193" s="75"/>
      <c r="BT193" s="75"/>
      <c r="BU193" s="75"/>
      <c r="BV193" s="75"/>
      <c r="BW193" s="75"/>
      <c r="BX193" s="75"/>
    </row>
    <row r="194">
      <c r="A194" s="76" t="str">
        <f t="shared" si="1"/>
        <v>#REF!</v>
      </c>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c r="AA194" s="75"/>
      <c r="AB194" s="75"/>
      <c r="AC194" s="75"/>
      <c r="AD194" s="75"/>
      <c r="AE194" s="75"/>
      <c r="AF194" s="75"/>
      <c r="AG194" s="75"/>
      <c r="AH194" s="75"/>
      <c r="AI194" s="75"/>
      <c r="AJ194" s="75"/>
      <c r="AK194" s="75"/>
      <c r="AL194" s="75"/>
      <c r="AM194" s="75"/>
      <c r="AN194" s="75"/>
      <c r="AO194" s="75"/>
      <c r="AP194" s="75"/>
      <c r="AQ194" s="75"/>
      <c r="AR194" s="75"/>
      <c r="AS194" s="75"/>
      <c r="AT194" s="75"/>
      <c r="AU194" s="75"/>
      <c r="AV194" s="75"/>
      <c r="AW194" s="75"/>
      <c r="AX194" s="75"/>
      <c r="AY194" s="75"/>
      <c r="AZ194" s="75"/>
      <c r="BA194" s="75"/>
      <c r="BB194" s="75"/>
      <c r="BC194" s="75"/>
      <c r="BD194" s="75"/>
      <c r="BE194" s="75"/>
      <c r="BF194" s="75"/>
      <c r="BG194" s="75"/>
      <c r="BH194" s="75"/>
      <c r="BI194" s="75"/>
      <c r="BJ194" s="75"/>
      <c r="BK194" s="75"/>
      <c r="BL194" s="75"/>
      <c r="BM194" s="75"/>
      <c r="BN194" s="75"/>
      <c r="BO194" s="75"/>
      <c r="BP194" s="75"/>
      <c r="BQ194" s="75"/>
      <c r="BR194" s="75"/>
      <c r="BS194" s="75"/>
      <c r="BT194" s="75"/>
      <c r="BU194" s="75"/>
      <c r="BV194" s="75"/>
      <c r="BW194" s="75"/>
      <c r="BX194" s="75"/>
    </row>
    <row r="195">
      <c r="A195" s="76" t="str">
        <f t="shared" si="1"/>
        <v>#REF!</v>
      </c>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c r="AA195" s="75"/>
      <c r="AB195" s="75"/>
      <c r="AC195" s="75"/>
      <c r="AD195" s="75"/>
      <c r="AE195" s="75"/>
      <c r="AF195" s="75"/>
      <c r="AG195" s="75"/>
      <c r="AH195" s="75"/>
      <c r="AI195" s="75"/>
      <c r="AJ195" s="75"/>
      <c r="AK195" s="75"/>
      <c r="AL195" s="75"/>
      <c r="AM195" s="75"/>
      <c r="AN195" s="75"/>
      <c r="AO195" s="75"/>
      <c r="AP195" s="75"/>
      <c r="AQ195" s="75"/>
      <c r="AR195" s="75"/>
      <c r="AS195" s="75"/>
      <c r="AT195" s="75"/>
      <c r="AU195" s="75"/>
      <c r="AV195" s="75"/>
      <c r="AW195" s="75"/>
      <c r="AX195" s="75"/>
      <c r="AY195" s="75"/>
      <c r="AZ195" s="75"/>
      <c r="BA195" s="75"/>
      <c r="BB195" s="75"/>
      <c r="BC195" s="75"/>
      <c r="BD195" s="75"/>
      <c r="BE195" s="75"/>
      <c r="BF195" s="75"/>
      <c r="BG195" s="75"/>
      <c r="BH195" s="75"/>
      <c r="BI195" s="75"/>
      <c r="BJ195" s="75"/>
      <c r="BK195" s="75"/>
      <c r="BL195" s="75"/>
      <c r="BM195" s="75"/>
      <c r="BN195" s="75"/>
      <c r="BO195" s="75"/>
      <c r="BP195" s="75"/>
      <c r="BQ195" s="75"/>
      <c r="BR195" s="75"/>
      <c r="BS195" s="75"/>
      <c r="BT195" s="75"/>
      <c r="BU195" s="75"/>
      <c r="BV195" s="75"/>
      <c r="BW195" s="75"/>
      <c r="BX195" s="75"/>
    </row>
    <row r="196">
      <c r="A196" s="76" t="str">
        <f t="shared" si="1"/>
        <v>#REF!</v>
      </c>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c r="AA196" s="75"/>
      <c r="AB196" s="75"/>
      <c r="AC196" s="75"/>
      <c r="AD196" s="75"/>
      <c r="AE196" s="75"/>
      <c r="AF196" s="75"/>
      <c r="AG196" s="75"/>
      <c r="AH196" s="75"/>
      <c r="AI196" s="75"/>
      <c r="AJ196" s="75"/>
      <c r="AK196" s="75"/>
      <c r="AL196" s="75"/>
      <c r="AM196" s="75"/>
      <c r="AN196" s="75"/>
      <c r="AO196" s="75"/>
      <c r="AP196" s="75"/>
      <c r="AQ196" s="75"/>
      <c r="AR196" s="75"/>
      <c r="AS196" s="75"/>
      <c r="AT196" s="75"/>
      <c r="AU196" s="75"/>
      <c r="AV196" s="75"/>
      <c r="AW196" s="75"/>
      <c r="AX196" s="75"/>
      <c r="AY196" s="75"/>
      <c r="AZ196" s="75"/>
      <c r="BA196" s="75"/>
      <c r="BB196" s="75"/>
      <c r="BC196" s="75"/>
      <c r="BD196" s="75"/>
      <c r="BE196" s="75"/>
      <c r="BF196" s="75"/>
      <c r="BG196" s="75"/>
      <c r="BH196" s="75"/>
      <c r="BI196" s="75"/>
      <c r="BJ196" s="75"/>
      <c r="BK196" s="75"/>
      <c r="BL196" s="75"/>
      <c r="BM196" s="75"/>
      <c r="BN196" s="75"/>
      <c r="BO196" s="75"/>
      <c r="BP196" s="75"/>
      <c r="BQ196" s="75"/>
      <c r="BR196" s="75"/>
      <c r="BS196" s="75"/>
      <c r="BT196" s="75"/>
      <c r="BU196" s="75"/>
      <c r="BV196" s="75"/>
      <c r="BW196" s="75"/>
      <c r="BX196" s="75"/>
    </row>
    <row r="197">
      <c r="A197" s="76" t="str">
        <f t="shared" si="1"/>
        <v>#REF!</v>
      </c>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c r="AA197" s="75"/>
      <c r="AB197" s="75"/>
      <c r="AC197" s="75"/>
      <c r="AD197" s="75"/>
      <c r="AE197" s="75"/>
      <c r="AF197" s="75"/>
      <c r="AG197" s="75"/>
      <c r="AH197" s="75"/>
      <c r="AI197" s="75"/>
      <c r="AJ197" s="75"/>
      <c r="AK197" s="75"/>
      <c r="AL197" s="75"/>
      <c r="AM197" s="75"/>
      <c r="AN197" s="75"/>
      <c r="AO197" s="75"/>
      <c r="AP197" s="75"/>
      <c r="AQ197" s="75"/>
      <c r="AR197" s="75"/>
      <c r="AS197" s="75"/>
      <c r="AT197" s="75"/>
      <c r="AU197" s="75"/>
      <c r="AV197" s="75"/>
      <c r="AW197" s="75"/>
      <c r="AX197" s="75"/>
      <c r="AY197" s="75"/>
      <c r="AZ197" s="75"/>
      <c r="BA197" s="75"/>
      <c r="BB197" s="75"/>
      <c r="BC197" s="75"/>
      <c r="BD197" s="75"/>
      <c r="BE197" s="75"/>
      <c r="BF197" s="75"/>
      <c r="BG197" s="75"/>
      <c r="BH197" s="75"/>
      <c r="BI197" s="75"/>
      <c r="BJ197" s="75"/>
      <c r="BK197" s="75"/>
      <c r="BL197" s="75"/>
      <c r="BM197" s="75"/>
      <c r="BN197" s="75"/>
      <c r="BO197" s="75"/>
      <c r="BP197" s="75"/>
      <c r="BQ197" s="75"/>
      <c r="BR197" s="75"/>
      <c r="BS197" s="75"/>
      <c r="BT197" s="75"/>
      <c r="BU197" s="75"/>
      <c r="BV197" s="75"/>
      <c r="BW197" s="75"/>
      <c r="BX197" s="75"/>
    </row>
    <row r="198">
      <c r="A198" s="76" t="str">
        <f t="shared" si="1"/>
        <v>#REF!</v>
      </c>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c r="AL198" s="75"/>
      <c r="AM198" s="75"/>
      <c r="AN198" s="75"/>
      <c r="AO198" s="75"/>
      <c r="AP198" s="75"/>
      <c r="AQ198" s="75"/>
      <c r="AR198" s="75"/>
      <c r="AS198" s="75"/>
      <c r="AT198" s="75"/>
      <c r="AU198" s="75"/>
      <c r="AV198" s="75"/>
      <c r="AW198" s="75"/>
      <c r="AX198" s="75"/>
      <c r="AY198" s="75"/>
      <c r="AZ198" s="75"/>
      <c r="BA198" s="75"/>
      <c r="BB198" s="75"/>
      <c r="BC198" s="75"/>
      <c r="BD198" s="75"/>
      <c r="BE198" s="75"/>
      <c r="BF198" s="75"/>
      <c r="BG198" s="75"/>
      <c r="BH198" s="75"/>
      <c r="BI198" s="75"/>
      <c r="BJ198" s="75"/>
      <c r="BK198" s="75"/>
      <c r="BL198" s="75"/>
      <c r="BM198" s="75"/>
      <c r="BN198" s="75"/>
      <c r="BO198" s="75"/>
      <c r="BP198" s="75"/>
      <c r="BQ198" s="75"/>
      <c r="BR198" s="75"/>
      <c r="BS198" s="75"/>
      <c r="BT198" s="75"/>
      <c r="BU198" s="75"/>
      <c r="BV198" s="75"/>
      <c r="BW198" s="75"/>
      <c r="BX198" s="75"/>
    </row>
    <row r="199">
      <c r="A199" s="76" t="str">
        <f t="shared" si="1"/>
        <v>#REF!</v>
      </c>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c r="AA199" s="75"/>
      <c r="AB199" s="75"/>
      <c r="AC199" s="75"/>
      <c r="AD199" s="75"/>
      <c r="AE199" s="75"/>
      <c r="AF199" s="75"/>
      <c r="AG199" s="75"/>
      <c r="AH199" s="75"/>
      <c r="AI199" s="75"/>
      <c r="AJ199" s="75"/>
      <c r="AK199" s="75"/>
      <c r="AL199" s="75"/>
      <c r="AM199" s="75"/>
      <c r="AN199" s="75"/>
      <c r="AO199" s="75"/>
      <c r="AP199" s="75"/>
      <c r="AQ199" s="75"/>
      <c r="AR199" s="75"/>
      <c r="AS199" s="75"/>
      <c r="AT199" s="75"/>
      <c r="AU199" s="75"/>
      <c r="AV199" s="75"/>
      <c r="AW199" s="75"/>
      <c r="AX199" s="75"/>
      <c r="AY199" s="75"/>
      <c r="AZ199" s="75"/>
      <c r="BA199" s="75"/>
      <c r="BB199" s="75"/>
      <c r="BC199" s="75"/>
      <c r="BD199" s="75"/>
      <c r="BE199" s="75"/>
      <c r="BF199" s="75"/>
      <c r="BG199" s="75"/>
      <c r="BH199" s="75"/>
      <c r="BI199" s="75"/>
      <c r="BJ199" s="75"/>
      <c r="BK199" s="75"/>
      <c r="BL199" s="75"/>
      <c r="BM199" s="75"/>
      <c r="BN199" s="75"/>
      <c r="BO199" s="75"/>
      <c r="BP199" s="75"/>
      <c r="BQ199" s="75"/>
      <c r="BR199" s="75"/>
      <c r="BS199" s="75"/>
      <c r="BT199" s="75"/>
      <c r="BU199" s="75"/>
      <c r="BV199" s="75"/>
      <c r="BW199" s="75"/>
      <c r="BX199" s="75"/>
    </row>
    <row r="200">
      <c r="A200" s="76" t="str">
        <f t="shared" si="1"/>
        <v>#REF!</v>
      </c>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c r="AA200" s="75"/>
      <c r="AB200" s="75"/>
      <c r="AC200" s="75"/>
      <c r="AD200" s="75"/>
      <c r="AE200" s="75"/>
      <c r="AF200" s="75"/>
      <c r="AG200" s="75"/>
      <c r="AH200" s="75"/>
      <c r="AI200" s="75"/>
      <c r="AJ200" s="75"/>
      <c r="AK200" s="75"/>
      <c r="AL200" s="75"/>
      <c r="AM200" s="75"/>
      <c r="AN200" s="75"/>
      <c r="AO200" s="75"/>
      <c r="AP200" s="75"/>
      <c r="AQ200" s="75"/>
      <c r="AR200" s="75"/>
      <c r="AS200" s="75"/>
      <c r="AT200" s="75"/>
      <c r="AU200" s="75"/>
      <c r="AV200" s="75"/>
      <c r="AW200" s="75"/>
      <c r="AX200" s="75"/>
      <c r="AY200" s="75"/>
      <c r="AZ200" s="75"/>
      <c r="BA200" s="75"/>
      <c r="BB200" s="75"/>
      <c r="BC200" s="75"/>
      <c r="BD200" s="75"/>
      <c r="BE200" s="75"/>
      <c r="BF200" s="75"/>
      <c r="BG200" s="75"/>
      <c r="BH200" s="75"/>
      <c r="BI200" s="75"/>
      <c r="BJ200" s="75"/>
      <c r="BK200" s="75"/>
      <c r="BL200" s="75"/>
      <c r="BM200" s="75"/>
      <c r="BN200" s="75"/>
      <c r="BO200" s="75"/>
      <c r="BP200" s="75"/>
      <c r="BQ200" s="75"/>
      <c r="BR200" s="75"/>
      <c r="BS200" s="75"/>
      <c r="BT200" s="75"/>
      <c r="BU200" s="75"/>
      <c r="BV200" s="75"/>
      <c r="BW200" s="75"/>
      <c r="BX200" s="75"/>
    </row>
    <row r="201">
      <c r="A201" s="76" t="str">
        <f t="shared" si="1"/>
        <v>#REF!</v>
      </c>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c r="AA201" s="75"/>
      <c r="AB201" s="75"/>
      <c r="AC201" s="75"/>
      <c r="AD201" s="75"/>
      <c r="AE201" s="75"/>
      <c r="AF201" s="75"/>
      <c r="AG201" s="75"/>
      <c r="AH201" s="75"/>
      <c r="AI201" s="75"/>
      <c r="AJ201" s="75"/>
      <c r="AK201" s="75"/>
      <c r="AL201" s="75"/>
      <c r="AM201" s="75"/>
      <c r="AN201" s="75"/>
      <c r="AO201" s="75"/>
      <c r="AP201" s="75"/>
      <c r="AQ201" s="75"/>
      <c r="AR201" s="75"/>
      <c r="AS201" s="75"/>
      <c r="AT201" s="75"/>
      <c r="AU201" s="75"/>
      <c r="AV201" s="75"/>
      <c r="AW201" s="75"/>
      <c r="AX201" s="75"/>
      <c r="AY201" s="75"/>
      <c r="AZ201" s="75"/>
      <c r="BA201" s="75"/>
      <c r="BB201" s="75"/>
      <c r="BC201" s="75"/>
      <c r="BD201" s="75"/>
      <c r="BE201" s="75"/>
      <c r="BF201" s="75"/>
      <c r="BG201" s="75"/>
      <c r="BH201" s="75"/>
      <c r="BI201" s="75"/>
      <c r="BJ201" s="75"/>
      <c r="BK201" s="75"/>
      <c r="BL201" s="75"/>
      <c r="BM201" s="75"/>
      <c r="BN201" s="75"/>
      <c r="BO201" s="75"/>
      <c r="BP201" s="75"/>
      <c r="BQ201" s="75"/>
      <c r="BR201" s="75"/>
      <c r="BS201" s="75"/>
      <c r="BT201" s="75"/>
      <c r="BU201" s="75"/>
      <c r="BV201" s="75"/>
      <c r="BW201" s="75"/>
      <c r="BX201" s="75"/>
    </row>
    <row r="202">
      <c r="A202" s="76" t="str">
        <f t="shared" si="1"/>
        <v>#REF!</v>
      </c>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c r="AA202" s="75"/>
      <c r="AB202" s="75"/>
      <c r="AC202" s="75"/>
      <c r="AD202" s="75"/>
      <c r="AE202" s="75"/>
      <c r="AF202" s="75"/>
      <c r="AG202" s="75"/>
      <c r="AH202" s="75"/>
      <c r="AI202" s="75"/>
      <c r="AJ202" s="75"/>
      <c r="AK202" s="75"/>
      <c r="AL202" s="75"/>
      <c r="AM202" s="75"/>
      <c r="AN202" s="75"/>
      <c r="AO202" s="75"/>
      <c r="AP202" s="75"/>
      <c r="AQ202" s="75"/>
      <c r="AR202" s="75"/>
      <c r="AS202" s="75"/>
      <c r="AT202" s="75"/>
      <c r="AU202" s="75"/>
      <c r="AV202" s="75"/>
      <c r="AW202" s="75"/>
      <c r="AX202" s="75"/>
      <c r="AY202" s="75"/>
      <c r="AZ202" s="75"/>
      <c r="BA202" s="75"/>
      <c r="BB202" s="75"/>
      <c r="BC202" s="75"/>
      <c r="BD202" s="75"/>
      <c r="BE202" s="75"/>
      <c r="BF202" s="75"/>
      <c r="BG202" s="75"/>
      <c r="BH202" s="75"/>
      <c r="BI202" s="75"/>
      <c r="BJ202" s="75"/>
      <c r="BK202" s="75"/>
      <c r="BL202" s="75"/>
      <c r="BM202" s="75"/>
      <c r="BN202" s="75"/>
      <c r="BO202" s="75"/>
      <c r="BP202" s="75"/>
      <c r="BQ202" s="75"/>
      <c r="BR202" s="75"/>
      <c r="BS202" s="75"/>
      <c r="BT202" s="75"/>
      <c r="BU202" s="75"/>
      <c r="BV202" s="75"/>
      <c r="BW202" s="75"/>
      <c r="BX202" s="75"/>
    </row>
    <row r="203">
      <c r="A203" s="76" t="str">
        <f t="shared" si="1"/>
        <v>#REF!</v>
      </c>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c r="AA203" s="75"/>
      <c r="AB203" s="75"/>
      <c r="AC203" s="75"/>
      <c r="AD203" s="75"/>
      <c r="AE203" s="75"/>
      <c r="AF203" s="75"/>
      <c r="AG203" s="75"/>
      <c r="AH203" s="75"/>
      <c r="AI203" s="75"/>
      <c r="AJ203" s="75"/>
      <c r="AK203" s="75"/>
      <c r="AL203" s="75"/>
      <c r="AM203" s="75"/>
      <c r="AN203" s="75"/>
      <c r="AO203" s="75"/>
      <c r="AP203" s="75"/>
      <c r="AQ203" s="75"/>
      <c r="AR203" s="75"/>
      <c r="AS203" s="75"/>
      <c r="AT203" s="75"/>
      <c r="AU203" s="75"/>
      <c r="AV203" s="75"/>
      <c r="AW203" s="75"/>
      <c r="AX203" s="75"/>
      <c r="AY203" s="75"/>
      <c r="AZ203" s="75"/>
      <c r="BA203" s="75"/>
      <c r="BB203" s="75"/>
      <c r="BC203" s="75"/>
      <c r="BD203" s="75"/>
      <c r="BE203" s="75"/>
      <c r="BF203" s="75"/>
      <c r="BG203" s="75"/>
      <c r="BH203" s="75"/>
      <c r="BI203" s="75"/>
      <c r="BJ203" s="75"/>
      <c r="BK203" s="75"/>
      <c r="BL203" s="75"/>
      <c r="BM203" s="75"/>
      <c r="BN203" s="75"/>
      <c r="BO203" s="75"/>
      <c r="BP203" s="75"/>
      <c r="BQ203" s="75"/>
      <c r="BR203" s="75"/>
      <c r="BS203" s="75"/>
      <c r="BT203" s="75"/>
      <c r="BU203" s="75"/>
      <c r="BV203" s="75"/>
      <c r="BW203" s="75"/>
      <c r="BX203" s="75"/>
    </row>
    <row r="204">
      <c r="A204" s="76" t="str">
        <f t="shared" si="1"/>
        <v>#REF!</v>
      </c>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c r="AA204" s="75"/>
      <c r="AB204" s="75"/>
      <c r="AC204" s="75"/>
      <c r="AD204" s="75"/>
      <c r="AE204" s="75"/>
      <c r="AF204" s="75"/>
      <c r="AG204" s="75"/>
      <c r="AH204" s="75"/>
      <c r="AI204" s="75"/>
      <c r="AJ204" s="75"/>
      <c r="AK204" s="75"/>
      <c r="AL204" s="75"/>
      <c r="AM204" s="75"/>
      <c r="AN204" s="75"/>
      <c r="AO204" s="75"/>
      <c r="AP204" s="75"/>
      <c r="AQ204" s="75"/>
      <c r="AR204" s="75"/>
      <c r="AS204" s="75"/>
      <c r="AT204" s="75"/>
      <c r="AU204" s="75"/>
      <c r="AV204" s="75"/>
      <c r="AW204" s="75"/>
      <c r="AX204" s="75"/>
      <c r="AY204" s="75"/>
      <c r="AZ204" s="75"/>
      <c r="BA204" s="75"/>
      <c r="BB204" s="75"/>
      <c r="BC204" s="75"/>
      <c r="BD204" s="75"/>
      <c r="BE204" s="75"/>
      <c r="BF204" s="75"/>
      <c r="BG204" s="75"/>
      <c r="BH204" s="75"/>
      <c r="BI204" s="75"/>
      <c r="BJ204" s="75"/>
      <c r="BK204" s="75"/>
      <c r="BL204" s="75"/>
      <c r="BM204" s="75"/>
      <c r="BN204" s="75"/>
      <c r="BO204" s="75"/>
      <c r="BP204" s="75"/>
      <c r="BQ204" s="75"/>
      <c r="BR204" s="75"/>
      <c r="BS204" s="75"/>
      <c r="BT204" s="75"/>
      <c r="BU204" s="75"/>
      <c r="BV204" s="75"/>
      <c r="BW204" s="75"/>
      <c r="BX204" s="75"/>
    </row>
    <row r="205">
      <c r="A205" s="76" t="str">
        <f t="shared" si="1"/>
        <v>#REF!</v>
      </c>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c r="AA205" s="75"/>
      <c r="AB205" s="75"/>
      <c r="AC205" s="75"/>
      <c r="AD205" s="75"/>
      <c r="AE205" s="75"/>
      <c r="AF205" s="75"/>
      <c r="AG205" s="75"/>
      <c r="AH205" s="75"/>
      <c r="AI205" s="75"/>
      <c r="AJ205" s="75"/>
      <c r="AK205" s="75"/>
      <c r="AL205" s="75"/>
      <c r="AM205" s="75"/>
      <c r="AN205" s="75"/>
      <c r="AO205" s="75"/>
      <c r="AP205" s="75"/>
      <c r="AQ205" s="75"/>
      <c r="AR205" s="75"/>
      <c r="AS205" s="75"/>
      <c r="AT205" s="75"/>
      <c r="AU205" s="75"/>
      <c r="AV205" s="75"/>
      <c r="AW205" s="75"/>
      <c r="AX205" s="75"/>
      <c r="AY205" s="75"/>
      <c r="AZ205" s="75"/>
      <c r="BA205" s="75"/>
      <c r="BB205" s="75"/>
      <c r="BC205" s="75"/>
      <c r="BD205" s="75"/>
      <c r="BE205" s="75"/>
      <c r="BF205" s="75"/>
      <c r="BG205" s="75"/>
      <c r="BH205" s="75"/>
      <c r="BI205" s="75"/>
      <c r="BJ205" s="75"/>
      <c r="BK205" s="75"/>
      <c r="BL205" s="75"/>
      <c r="BM205" s="75"/>
      <c r="BN205" s="75"/>
      <c r="BO205" s="75"/>
      <c r="BP205" s="75"/>
      <c r="BQ205" s="75"/>
      <c r="BR205" s="75"/>
      <c r="BS205" s="75"/>
      <c r="BT205" s="75"/>
      <c r="BU205" s="75"/>
      <c r="BV205" s="75"/>
      <c r="BW205" s="75"/>
      <c r="BX205" s="75"/>
    </row>
    <row r="206">
      <c r="A206" s="76" t="str">
        <f t="shared" si="1"/>
        <v>#REF!</v>
      </c>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c r="AA206" s="75"/>
      <c r="AB206" s="75"/>
      <c r="AC206" s="75"/>
      <c r="AD206" s="75"/>
      <c r="AE206" s="75"/>
      <c r="AF206" s="75"/>
      <c r="AG206" s="75"/>
      <c r="AH206" s="75"/>
      <c r="AI206" s="75"/>
      <c r="AJ206" s="75"/>
      <c r="AK206" s="75"/>
      <c r="AL206" s="75"/>
      <c r="AM206" s="75"/>
      <c r="AN206" s="75"/>
      <c r="AO206" s="75"/>
      <c r="AP206" s="75"/>
      <c r="AQ206" s="75"/>
      <c r="AR206" s="75"/>
      <c r="AS206" s="75"/>
      <c r="AT206" s="75"/>
      <c r="AU206" s="75"/>
      <c r="AV206" s="75"/>
      <c r="AW206" s="75"/>
      <c r="AX206" s="75"/>
      <c r="AY206" s="75"/>
      <c r="AZ206" s="75"/>
      <c r="BA206" s="75"/>
      <c r="BB206" s="75"/>
      <c r="BC206" s="75"/>
      <c r="BD206" s="75"/>
      <c r="BE206" s="75"/>
      <c r="BF206" s="75"/>
      <c r="BG206" s="75"/>
      <c r="BH206" s="75"/>
      <c r="BI206" s="75"/>
      <c r="BJ206" s="75"/>
      <c r="BK206" s="75"/>
      <c r="BL206" s="75"/>
      <c r="BM206" s="75"/>
      <c r="BN206" s="75"/>
      <c r="BO206" s="75"/>
      <c r="BP206" s="75"/>
      <c r="BQ206" s="75"/>
      <c r="BR206" s="75"/>
      <c r="BS206" s="75"/>
      <c r="BT206" s="75"/>
      <c r="BU206" s="75"/>
      <c r="BV206" s="75"/>
      <c r="BW206" s="75"/>
      <c r="BX206" s="75"/>
    </row>
    <row r="207">
      <c r="A207" s="76" t="str">
        <f t="shared" si="1"/>
        <v>#REF!</v>
      </c>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c r="AA207" s="75"/>
      <c r="AB207" s="75"/>
      <c r="AC207" s="75"/>
      <c r="AD207" s="75"/>
      <c r="AE207" s="75"/>
      <c r="AF207" s="75"/>
      <c r="AG207" s="75"/>
      <c r="AH207" s="75"/>
      <c r="AI207" s="75"/>
      <c r="AJ207" s="75"/>
      <c r="AK207" s="75"/>
      <c r="AL207" s="75"/>
      <c r="AM207" s="75"/>
      <c r="AN207" s="75"/>
      <c r="AO207" s="75"/>
      <c r="AP207" s="75"/>
      <c r="AQ207" s="75"/>
      <c r="AR207" s="75"/>
      <c r="AS207" s="75"/>
      <c r="AT207" s="75"/>
      <c r="AU207" s="75"/>
      <c r="AV207" s="75"/>
      <c r="AW207" s="75"/>
      <c r="AX207" s="75"/>
      <c r="AY207" s="75"/>
      <c r="AZ207" s="75"/>
      <c r="BA207" s="75"/>
      <c r="BB207" s="75"/>
      <c r="BC207" s="75"/>
      <c r="BD207" s="75"/>
      <c r="BE207" s="75"/>
      <c r="BF207" s="75"/>
      <c r="BG207" s="75"/>
      <c r="BH207" s="75"/>
      <c r="BI207" s="75"/>
      <c r="BJ207" s="75"/>
      <c r="BK207" s="75"/>
      <c r="BL207" s="75"/>
      <c r="BM207" s="75"/>
      <c r="BN207" s="75"/>
      <c r="BO207" s="75"/>
      <c r="BP207" s="75"/>
      <c r="BQ207" s="75"/>
      <c r="BR207" s="75"/>
      <c r="BS207" s="75"/>
      <c r="BT207" s="75"/>
      <c r="BU207" s="75"/>
      <c r="BV207" s="75"/>
      <c r="BW207" s="75"/>
      <c r="BX207" s="75"/>
    </row>
    <row r="208">
      <c r="A208" s="76" t="str">
        <f t="shared" si="1"/>
        <v>#REF!</v>
      </c>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c r="AA208" s="75"/>
      <c r="AB208" s="75"/>
      <c r="AC208" s="75"/>
      <c r="AD208" s="75"/>
      <c r="AE208" s="75"/>
      <c r="AF208" s="75"/>
      <c r="AG208" s="75"/>
      <c r="AH208" s="75"/>
      <c r="AI208" s="75"/>
      <c r="AJ208" s="75"/>
      <c r="AK208" s="75"/>
      <c r="AL208" s="75"/>
      <c r="AM208" s="75"/>
      <c r="AN208" s="75"/>
      <c r="AO208" s="75"/>
      <c r="AP208" s="75"/>
      <c r="AQ208" s="75"/>
      <c r="AR208" s="75"/>
      <c r="AS208" s="75"/>
      <c r="AT208" s="75"/>
      <c r="AU208" s="75"/>
      <c r="AV208" s="75"/>
      <c r="AW208" s="75"/>
      <c r="AX208" s="75"/>
      <c r="AY208" s="75"/>
      <c r="AZ208" s="75"/>
      <c r="BA208" s="75"/>
      <c r="BB208" s="75"/>
      <c r="BC208" s="75"/>
      <c r="BD208" s="75"/>
      <c r="BE208" s="75"/>
      <c r="BF208" s="75"/>
      <c r="BG208" s="75"/>
      <c r="BH208" s="75"/>
      <c r="BI208" s="75"/>
      <c r="BJ208" s="75"/>
      <c r="BK208" s="75"/>
      <c r="BL208" s="75"/>
      <c r="BM208" s="75"/>
      <c r="BN208" s="75"/>
      <c r="BO208" s="75"/>
      <c r="BP208" s="75"/>
      <c r="BQ208" s="75"/>
      <c r="BR208" s="75"/>
      <c r="BS208" s="75"/>
      <c r="BT208" s="75"/>
      <c r="BU208" s="75"/>
      <c r="BV208" s="75"/>
      <c r="BW208" s="75"/>
      <c r="BX208" s="75"/>
    </row>
    <row r="209">
      <c r="A209" s="76" t="str">
        <f t="shared" si="1"/>
        <v>#REF!</v>
      </c>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c r="AA209" s="75"/>
      <c r="AB209" s="75"/>
      <c r="AC209" s="75"/>
      <c r="AD209" s="75"/>
      <c r="AE209" s="75"/>
      <c r="AF209" s="75"/>
      <c r="AG209" s="75"/>
      <c r="AH209" s="75"/>
      <c r="AI209" s="75"/>
      <c r="AJ209" s="75"/>
      <c r="AK209" s="75"/>
      <c r="AL209" s="75"/>
      <c r="AM209" s="75"/>
      <c r="AN209" s="75"/>
      <c r="AO209" s="75"/>
      <c r="AP209" s="75"/>
      <c r="AQ209" s="75"/>
      <c r="AR209" s="75"/>
      <c r="AS209" s="75"/>
      <c r="AT209" s="75"/>
      <c r="AU209" s="75"/>
      <c r="AV209" s="75"/>
      <c r="AW209" s="75"/>
      <c r="AX209" s="75"/>
      <c r="AY209" s="75"/>
      <c r="AZ209" s="75"/>
      <c r="BA209" s="75"/>
      <c r="BB209" s="75"/>
      <c r="BC209" s="75"/>
      <c r="BD209" s="75"/>
      <c r="BE209" s="75"/>
      <c r="BF209" s="75"/>
      <c r="BG209" s="75"/>
      <c r="BH209" s="75"/>
      <c r="BI209" s="75"/>
      <c r="BJ209" s="75"/>
      <c r="BK209" s="75"/>
      <c r="BL209" s="75"/>
      <c r="BM209" s="75"/>
      <c r="BN209" s="75"/>
      <c r="BO209" s="75"/>
      <c r="BP209" s="75"/>
      <c r="BQ209" s="75"/>
      <c r="BR209" s="75"/>
      <c r="BS209" s="75"/>
      <c r="BT209" s="75"/>
      <c r="BU209" s="75"/>
      <c r="BV209" s="75"/>
      <c r="BW209" s="75"/>
      <c r="BX209" s="75"/>
    </row>
    <row r="210">
      <c r="A210" s="76" t="str">
        <f t="shared" si="1"/>
        <v>#REF!</v>
      </c>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c r="AA210" s="75"/>
      <c r="AB210" s="75"/>
      <c r="AC210" s="75"/>
      <c r="AD210" s="75"/>
      <c r="AE210" s="75"/>
      <c r="AF210" s="75"/>
      <c r="AG210" s="75"/>
      <c r="AH210" s="75"/>
      <c r="AI210" s="75"/>
      <c r="AJ210" s="75"/>
      <c r="AK210" s="75"/>
      <c r="AL210" s="75"/>
      <c r="AM210" s="75"/>
      <c r="AN210" s="75"/>
      <c r="AO210" s="75"/>
      <c r="AP210" s="75"/>
      <c r="AQ210" s="75"/>
      <c r="AR210" s="75"/>
      <c r="AS210" s="75"/>
      <c r="AT210" s="75"/>
      <c r="AU210" s="75"/>
      <c r="AV210" s="75"/>
      <c r="AW210" s="75"/>
      <c r="AX210" s="75"/>
      <c r="AY210" s="75"/>
      <c r="AZ210" s="75"/>
      <c r="BA210" s="75"/>
      <c r="BB210" s="75"/>
      <c r="BC210" s="75"/>
      <c r="BD210" s="75"/>
      <c r="BE210" s="75"/>
      <c r="BF210" s="75"/>
      <c r="BG210" s="75"/>
      <c r="BH210" s="75"/>
      <c r="BI210" s="75"/>
      <c r="BJ210" s="75"/>
      <c r="BK210" s="75"/>
      <c r="BL210" s="75"/>
      <c r="BM210" s="75"/>
      <c r="BN210" s="75"/>
      <c r="BO210" s="75"/>
      <c r="BP210" s="75"/>
      <c r="BQ210" s="75"/>
      <c r="BR210" s="75"/>
      <c r="BS210" s="75"/>
      <c r="BT210" s="75"/>
      <c r="BU210" s="75"/>
      <c r="BV210" s="75"/>
      <c r="BW210" s="75"/>
      <c r="BX210" s="75"/>
    </row>
    <row r="211">
      <c r="A211" s="76" t="str">
        <f t="shared" si="1"/>
        <v>#REF!</v>
      </c>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c r="AA211" s="75"/>
      <c r="AB211" s="75"/>
      <c r="AC211" s="75"/>
      <c r="AD211" s="75"/>
      <c r="AE211" s="75"/>
      <c r="AF211" s="75"/>
      <c r="AG211" s="75"/>
      <c r="AH211" s="75"/>
      <c r="AI211" s="75"/>
      <c r="AJ211" s="75"/>
      <c r="AK211" s="75"/>
      <c r="AL211" s="75"/>
      <c r="AM211" s="75"/>
      <c r="AN211" s="75"/>
      <c r="AO211" s="75"/>
      <c r="AP211" s="75"/>
      <c r="AQ211" s="75"/>
      <c r="AR211" s="75"/>
      <c r="AS211" s="75"/>
      <c r="AT211" s="75"/>
      <c r="AU211" s="75"/>
      <c r="AV211" s="75"/>
      <c r="AW211" s="75"/>
      <c r="AX211" s="75"/>
      <c r="AY211" s="75"/>
      <c r="AZ211" s="75"/>
      <c r="BA211" s="75"/>
      <c r="BB211" s="75"/>
      <c r="BC211" s="75"/>
      <c r="BD211" s="75"/>
      <c r="BE211" s="75"/>
      <c r="BF211" s="75"/>
      <c r="BG211" s="75"/>
      <c r="BH211" s="75"/>
      <c r="BI211" s="75"/>
      <c r="BJ211" s="75"/>
      <c r="BK211" s="75"/>
      <c r="BL211" s="75"/>
      <c r="BM211" s="75"/>
      <c r="BN211" s="75"/>
      <c r="BO211" s="75"/>
      <c r="BP211" s="75"/>
      <c r="BQ211" s="75"/>
      <c r="BR211" s="75"/>
      <c r="BS211" s="75"/>
      <c r="BT211" s="75"/>
      <c r="BU211" s="75"/>
      <c r="BV211" s="75"/>
      <c r="BW211" s="75"/>
      <c r="BX211" s="75"/>
    </row>
    <row r="212">
      <c r="A212" s="76" t="str">
        <f t="shared" si="1"/>
        <v>#REF!</v>
      </c>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c r="AA212" s="75"/>
      <c r="AB212" s="75"/>
      <c r="AC212" s="75"/>
      <c r="AD212" s="75"/>
      <c r="AE212" s="75"/>
      <c r="AF212" s="75"/>
      <c r="AG212" s="75"/>
      <c r="AH212" s="75"/>
      <c r="AI212" s="75"/>
      <c r="AJ212" s="75"/>
      <c r="AK212" s="75"/>
      <c r="AL212" s="75"/>
      <c r="AM212" s="75"/>
      <c r="AN212" s="75"/>
      <c r="AO212" s="75"/>
      <c r="AP212" s="75"/>
      <c r="AQ212" s="75"/>
      <c r="AR212" s="75"/>
      <c r="AS212" s="75"/>
      <c r="AT212" s="75"/>
      <c r="AU212" s="75"/>
      <c r="AV212" s="75"/>
      <c r="AW212" s="75"/>
      <c r="AX212" s="75"/>
      <c r="AY212" s="75"/>
      <c r="AZ212" s="75"/>
      <c r="BA212" s="75"/>
      <c r="BB212" s="75"/>
      <c r="BC212" s="75"/>
      <c r="BD212" s="75"/>
      <c r="BE212" s="75"/>
      <c r="BF212" s="75"/>
      <c r="BG212" s="75"/>
      <c r="BH212" s="75"/>
      <c r="BI212" s="75"/>
      <c r="BJ212" s="75"/>
      <c r="BK212" s="75"/>
      <c r="BL212" s="75"/>
      <c r="BM212" s="75"/>
      <c r="BN212" s="75"/>
      <c r="BO212" s="75"/>
      <c r="BP212" s="75"/>
      <c r="BQ212" s="75"/>
      <c r="BR212" s="75"/>
      <c r="BS212" s="75"/>
      <c r="BT212" s="75"/>
      <c r="BU212" s="75"/>
      <c r="BV212" s="75"/>
      <c r="BW212" s="75"/>
      <c r="BX212" s="75"/>
    </row>
    <row r="213">
      <c r="A213" s="76" t="str">
        <f t="shared" si="1"/>
        <v>#REF!</v>
      </c>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c r="AA213" s="75"/>
      <c r="AB213" s="75"/>
      <c r="AC213" s="75"/>
      <c r="AD213" s="75"/>
      <c r="AE213" s="75"/>
      <c r="AF213" s="75"/>
      <c r="AG213" s="75"/>
      <c r="AH213" s="75"/>
      <c r="AI213" s="75"/>
      <c r="AJ213" s="75"/>
      <c r="AK213" s="75"/>
      <c r="AL213" s="75"/>
      <c r="AM213" s="75"/>
      <c r="AN213" s="75"/>
      <c r="AO213" s="75"/>
      <c r="AP213" s="75"/>
      <c r="AQ213" s="75"/>
      <c r="AR213" s="75"/>
      <c r="AS213" s="75"/>
      <c r="AT213" s="75"/>
      <c r="AU213" s="75"/>
      <c r="AV213" s="75"/>
      <c r="AW213" s="75"/>
      <c r="AX213" s="75"/>
      <c r="AY213" s="75"/>
      <c r="AZ213" s="75"/>
      <c r="BA213" s="75"/>
      <c r="BB213" s="75"/>
      <c r="BC213" s="75"/>
      <c r="BD213" s="75"/>
      <c r="BE213" s="75"/>
      <c r="BF213" s="75"/>
      <c r="BG213" s="75"/>
      <c r="BH213" s="75"/>
      <c r="BI213" s="75"/>
      <c r="BJ213" s="75"/>
      <c r="BK213" s="75"/>
      <c r="BL213" s="75"/>
      <c r="BM213" s="75"/>
      <c r="BN213" s="75"/>
      <c r="BO213" s="75"/>
      <c r="BP213" s="75"/>
      <c r="BQ213" s="75"/>
      <c r="BR213" s="75"/>
      <c r="BS213" s="75"/>
      <c r="BT213" s="75"/>
      <c r="BU213" s="75"/>
      <c r="BV213" s="75"/>
      <c r="BW213" s="75"/>
      <c r="BX213" s="75"/>
    </row>
    <row r="214">
      <c r="A214" s="76" t="str">
        <f t="shared" si="1"/>
        <v>#REF!</v>
      </c>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c r="AA214" s="75"/>
      <c r="AB214" s="75"/>
      <c r="AC214" s="75"/>
      <c r="AD214" s="75"/>
      <c r="AE214" s="75"/>
      <c r="AF214" s="75"/>
      <c r="AG214" s="75"/>
      <c r="AH214" s="75"/>
      <c r="AI214" s="75"/>
      <c r="AJ214" s="75"/>
      <c r="AK214" s="75"/>
      <c r="AL214" s="75"/>
      <c r="AM214" s="75"/>
      <c r="AN214" s="75"/>
      <c r="AO214" s="75"/>
      <c r="AP214" s="75"/>
      <c r="AQ214" s="75"/>
      <c r="AR214" s="75"/>
      <c r="AS214" s="75"/>
      <c r="AT214" s="75"/>
      <c r="AU214" s="75"/>
      <c r="AV214" s="75"/>
      <c r="AW214" s="75"/>
      <c r="AX214" s="75"/>
      <c r="AY214" s="75"/>
      <c r="AZ214" s="75"/>
      <c r="BA214" s="75"/>
      <c r="BB214" s="75"/>
      <c r="BC214" s="75"/>
      <c r="BD214" s="75"/>
      <c r="BE214" s="75"/>
      <c r="BF214" s="75"/>
      <c r="BG214" s="75"/>
      <c r="BH214" s="75"/>
      <c r="BI214" s="75"/>
      <c r="BJ214" s="75"/>
      <c r="BK214" s="75"/>
      <c r="BL214" s="75"/>
      <c r="BM214" s="75"/>
      <c r="BN214" s="75"/>
      <c r="BO214" s="75"/>
      <c r="BP214" s="75"/>
      <c r="BQ214" s="75"/>
      <c r="BR214" s="75"/>
      <c r="BS214" s="75"/>
      <c r="BT214" s="75"/>
      <c r="BU214" s="75"/>
      <c r="BV214" s="75"/>
      <c r="BW214" s="75"/>
      <c r="BX214" s="75"/>
    </row>
    <row r="215">
      <c r="A215" s="76" t="str">
        <f t="shared" si="1"/>
        <v>#REF!</v>
      </c>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c r="AA215" s="75"/>
      <c r="AB215" s="75"/>
      <c r="AC215" s="75"/>
      <c r="AD215" s="75"/>
      <c r="AE215" s="75"/>
      <c r="AF215" s="75"/>
      <c r="AG215" s="75"/>
      <c r="AH215" s="75"/>
      <c r="AI215" s="75"/>
      <c r="AJ215" s="75"/>
      <c r="AK215" s="75"/>
      <c r="AL215" s="75"/>
      <c r="AM215" s="75"/>
      <c r="AN215" s="75"/>
      <c r="AO215" s="75"/>
      <c r="AP215" s="75"/>
      <c r="AQ215" s="75"/>
      <c r="AR215" s="75"/>
      <c r="AS215" s="75"/>
      <c r="AT215" s="75"/>
      <c r="AU215" s="75"/>
      <c r="AV215" s="75"/>
      <c r="AW215" s="75"/>
      <c r="AX215" s="75"/>
      <c r="AY215" s="75"/>
      <c r="AZ215" s="75"/>
      <c r="BA215" s="75"/>
      <c r="BB215" s="75"/>
      <c r="BC215" s="75"/>
      <c r="BD215" s="75"/>
      <c r="BE215" s="75"/>
      <c r="BF215" s="75"/>
      <c r="BG215" s="75"/>
      <c r="BH215" s="75"/>
      <c r="BI215" s="75"/>
      <c r="BJ215" s="75"/>
      <c r="BK215" s="75"/>
      <c r="BL215" s="75"/>
      <c r="BM215" s="75"/>
      <c r="BN215" s="75"/>
      <c r="BO215" s="75"/>
      <c r="BP215" s="75"/>
      <c r="BQ215" s="75"/>
      <c r="BR215" s="75"/>
      <c r="BS215" s="75"/>
      <c r="BT215" s="75"/>
      <c r="BU215" s="75"/>
      <c r="BV215" s="75"/>
      <c r="BW215" s="75"/>
      <c r="BX215" s="75"/>
    </row>
    <row r="216">
      <c r="A216" s="76" t="str">
        <f t="shared" si="1"/>
        <v>#REF!</v>
      </c>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c r="AA216" s="75"/>
      <c r="AB216" s="75"/>
      <c r="AC216" s="75"/>
      <c r="AD216" s="75"/>
      <c r="AE216" s="75"/>
      <c r="AF216" s="75"/>
      <c r="AG216" s="75"/>
      <c r="AH216" s="75"/>
      <c r="AI216" s="75"/>
      <c r="AJ216" s="75"/>
      <c r="AK216" s="75"/>
      <c r="AL216" s="75"/>
      <c r="AM216" s="75"/>
      <c r="AN216" s="75"/>
      <c r="AO216" s="75"/>
      <c r="AP216" s="75"/>
      <c r="AQ216" s="75"/>
      <c r="AR216" s="75"/>
      <c r="AS216" s="75"/>
      <c r="AT216" s="75"/>
      <c r="AU216" s="75"/>
      <c r="AV216" s="75"/>
      <c r="AW216" s="75"/>
      <c r="AX216" s="75"/>
      <c r="AY216" s="75"/>
      <c r="AZ216" s="75"/>
      <c r="BA216" s="75"/>
      <c r="BB216" s="75"/>
      <c r="BC216" s="75"/>
      <c r="BD216" s="75"/>
      <c r="BE216" s="75"/>
      <c r="BF216" s="75"/>
      <c r="BG216" s="75"/>
      <c r="BH216" s="75"/>
      <c r="BI216" s="75"/>
      <c r="BJ216" s="75"/>
      <c r="BK216" s="75"/>
      <c r="BL216" s="75"/>
      <c r="BM216" s="75"/>
      <c r="BN216" s="75"/>
      <c r="BO216" s="75"/>
      <c r="BP216" s="75"/>
      <c r="BQ216" s="75"/>
      <c r="BR216" s="75"/>
      <c r="BS216" s="75"/>
      <c r="BT216" s="75"/>
      <c r="BU216" s="75"/>
      <c r="BV216" s="75"/>
      <c r="BW216" s="75"/>
      <c r="BX216" s="75"/>
    </row>
    <row r="217">
      <c r="A217" s="76" t="str">
        <f t="shared" si="1"/>
        <v>#REF!</v>
      </c>
      <c r="B217" s="86"/>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c r="AA217" s="75"/>
      <c r="AB217" s="75"/>
      <c r="AC217" s="75"/>
      <c r="AD217" s="75"/>
      <c r="AE217" s="75"/>
      <c r="AF217" s="75"/>
      <c r="AG217" s="75"/>
      <c r="AH217" s="75"/>
      <c r="AI217" s="75"/>
      <c r="AJ217" s="75"/>
      <c r="AK217" s="75"/>
      <c r="AL217" s="75"/>
      <c r="AM217" s="75"/>
      <c r="AN217" s="75"/>
      <c r="AO217" s="75"/>
      <c r="AP217" s="75"/>
      <c r="AQ217" s="75"/>
      <c r="AR217" s="75"/>
      <c r="AS217" s="75"/>
      <c r="AT217" s="75"/>
      <c r="AU217" s="75"/>
      <c r="AV217" s="75"/>
      <c r="AW217" s="75"/>
      <c r="AX217" s="75"/>
      <c r="AY217" s="75"/>
      <c r="AZ217" s="75"/>
      <c r="BA217" s="75"/>
      <c r="BB217" s="75"/>
      <c r="BC217" s="75"/>
      <c r="BD217" s="75"/>
      <c r="BE217" s="75"/>
      <c r="BF217" s="75"/>
      <c r="BG217" s="75"/>
      <c r="BH217" s="75"/>
      <c r="BI217" s="75"/>
      <c r="BJ217" s="75"/>
      <c r="BK217" s="75"/>
      <c r="BL217" s="75"/>
      <c r="BM217" s="75"/>
      <c r="BN217" s="75"/>
      <c r="BO217" s="75"/>
      <c r="BP217" s="75"/>
      <c r="BQ217" s="75"/>
      <c r="BR217" s="75"/>
      <c r="BS217" s="75"/>
      <c r="BT217" s="75"/>
      <c r="BU217" s="75"/>
      <c r="BV217" s="75"/>
      <c r="BW217" s="75"/>
      <c r="BX217" s="75"/>
    </row>
    <row r="218">
      <c r="A218" s="76" t="str">
        <f t="shared" si="1"/>
        <v>#REF!</v>
      </c>
      <c r="B218" s="76"/>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c r="AA218" s="75"/>
      <c r="AB218" s="75"/>
      <c r="AC218" s="75"/>
      <c r="AD218" s="75"/>
      <c r="AE218" s="75"/>
      <c r="AF218" s="75"/>
      <c r="AG218" s="75"/>
      <c r="AH218" s="75"/>
      <c r="AI218" s="75"/>
      <c r="AJ218" s="75"/>
      <c r="AK218" s="75"/>
      <c r="AL218" s="75"/>
      <c r="AM218" s="75"/>
      <c r="AN218" s="75"/>
      <c r="AO218" s="75"/>
      <c r="AP218" s="75"/>
      <c r="AQ218" s="75"/>
      <c r="AR218" s="75"/>
      <c r="AS218" s="75"/>
      <c r="AT218" s="75"/>
      <c r="AU218" s="75"/>
      <c r="AV218" s="75"/>
      <c r="AW218" s="75"/>
      <c r="AX218" s="75"/>
      <c r="AY218" s="75"/>
      <c r="AZ218" s="75"/>
      <c r="BA218" s="75"/>
      <c r="BB218" s="75"/>
      <c r="BC218" s="75"/>
      <c r="BD218" s="75"/>
      <c r="BE218" s="75"/>
      <c r="BF218" s="75"/>
      <c r="BG218" s="75"/>
      <c r="BH218" s="75"/>
      <c r="BI218" s="75"/>
      <c r="BJ218" s="75"/>
      <c r="BK218" s="75"/>
      <c r="BL218" s="75"/>
      <c r="BM218" s="75"/>
      <c r="BN218" s="75"/>
      <c r="BO218" s="75"/>
      <c r="BP218" s="75"/>
      <c r="BQ218" s="75"/>
      <c r="BR218" s="75"/>
      <c r="BS218" s="75"/>
      <c r="BT218" s="75"/>
      <c r="BU218" s="75"/>
      <c r="BV218" s="75"/>
      <c r="BW218" s="75"/>
      <c r="BX218" s="75"/>
    </row>
    <row r="219">
      <c r="A219" s="76" t="str">
        <f t="shared" si="1"/>
        <v>#REF!</v>
      </c>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c r="AA219" s="75"/>
      <c r="AB219" s="75"/>
      <c r="AC219" s="75"/>
      <c r="AD219" s="75"/>
      <c r="AE219" s="75"/>
      <c r="AF219" s="75"/>
      <c r="AG219" s="75"/>
      <c r="AH219" s="75"/>
      <c r="AI219" s="75"/>
      <c r="AJ219" s="75"/>
      <c r="AK219" s="75"/>
      <c r="AL219" s="75"/>
      <c r="AM219" s="75"/>
      <c r="AN219" s="75"/>
      <c r="AO219" s="75"/>
      <c r="AP219" s="75"/>
      <c r="AQ219" s="75"/>
      <c r="AR219" s="75"/>
      <c r="AS219" s="75"/>
      <c r="AT219" s="75"/>
      <c r="AU219" s="75"/>
      <c r="AV219" s="75"/>
      <c r="AW219" s="75"/>
      <c r="AX219" s="75"/>
      <c r="AY219" s="75"/>
      <c r="AZ219" s="75"/>
      <c r="BA219" s="75"/>
      <c r="BB219" s="75"/>
      <c r="BC219" s="75"/>
      <c r="BD219" s="75"/>
      <c r="BE219" s="75"/>
      <c r="BF219" s="75"/>
      <c r="BG219" s="75"/>
      <c r="BH219" s="75"/>
      <c r="BI219" s="75"/>
      <c r="BJ219" s="75"/>
      <c r="BK219" s="75"/>
      <c r="BL219" s="75"/>
      <c r="BM219" s="75"/>
      <c r="BN219" s="75"/>
      <c r="BO219" s="75"/>
      <c r="BP219" s="75"/>
      <c r="BQ219" s="75"/>
      <c r="BR219" s="75"/>
      <c r="BS219" s="75"/>
      <c r="BT219" s="75"/>
      <c r="BU219" s="75"/>
      <c r="BV219" s="75"/>
      <c r="BW219" s="75"/>
      <c r="BX219" s="75"/>
    </row>
    <row r="220">
      <c r="A220" s="76" t="str">
        <f t="shared" si="1"/>
        <v>#REF!</v>
      </c>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c r="AA220" s="75"/>
      <c r="AB220" s="75"/>
      <c r="AC220" s="75"/>
      <c r="AD220" s="75"/>
      <c r="AE220" s="75"/>
      <c r="AF220" s="75"/>
      <c r="AG220" s="75"/>
      <c r="AH220" s="75"/>
      <c r="AI220" s="75"/>
      <c r="AJ220" s="75"/>
      <c r="AK220" s="75"/>
      <c r="AL220" s="75"/>
      <c r="AM220" s="75"/>
      <c r="AN220" s="75"/>
      <c r="AO220" s="75"/>
      <c r="AP220" s="75"/>
      <c r="AQ220" s="75"/>
      <c r="AR220" s="75"/>
      <c r="AS220" s="75"/>
      <c r="AT220" s="75"/>
      <c r="AU220" s="75"/>
      <c r="AV220" s="75"/>
      <c r="AW220" s="75"/>
      <c r="AX220" s="75"/>
      <c r="AY220" s="75"/>
      <c r="AZ220" s="75"/>
      <c r="BA220" s="75"/>
      <c r="BB220" s="75"/>
      <c r="BC220" s="75"/>
      <c r="BD220" s="75"/>
      <c r="BE220" s="75"/>
      <c r="BF220" s="75"/>
      <c r="BG220" s="75"/>
      <c r="BH220" s="75"/>
      <c r="BI220" s="75"/>
      <c r="BJ220" s="75"/>
      <c r="BK220" s="75"/>
      <c r="BL220" s="75"/>
      <c r="BM220" s="75"/>
      <c r="BN220" s="75"/>
      <c r="BO220" s="75"/>
      <c r="BP220" s="75"/>
      <c r="BQ220" s="75"/>
      <c r="BR220" s="75"/>
      <c r="BS220" s="75"/>
      <c r="BT220" s="75"/>
      <c r="BU220" s="75"/>
      <c r="BV220" s="75"/>
      <c r="BW220" s="75"/>
      <c r="BX220" s="75"/>
    </row>
    <row r="221">
      <c r="A221" s="76" t="str">
        <f t="shared" si="1"/>
        <v>#REF!</v>
      </c>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c r="AA221" s="75"/>
      <c r="AB221" s="75"/>
      <c r="AC221" s="75"/>
      <c r="AD221" s="75"/>
      <c r="AE221" s="75"/>
      <c r="AF221" s="75"/>
      <c r="AG221" s="75"/>
      <c r="AH221" s="75"/>
      <c r="AI221" s="75"/>
      <c r="AJ221" s="75"/>
      <c r="AK221" s="75"/>
      <c r="AL221" s="75"/>
      <c r="AM221" s="75"/>
      <c r="AN221" s="75"/>
      <c r="AO221" s="75"/>
      <c r="AP221" s="75"/>
      <c r="AQ221" s="75"/>
      <c r="AR221" s="75"/>
      <c r="AS221" s="75"/>
      <c r="AT221" s="75"/>
      <c r="AU221" s="75"/>
      <c r="AV221" s="75"/>
      <c r="AW221" s="75"/>
      <c r="AX221" s="75"/>
      <c r="AY221" s="75"/>
      <c r="AZ221" s="75"/>
      <c r="BA221" s="75"/>
      <c r="BB221" s="75"/>
      <c r="BC221" s="75"/>
      <c r="BD221" s="75"/>
      <c r="BE221" s="75"/>
      <c r="BF221" s="75"/>
      <c r="BG221" s="75"/>
      <c r="BH221" s="75"/>
      <c r="BI221" s="75"/>
      <c r="BJ221" s="75"/>
      <c r="BK221" s="75"/>
      <c r="BL221" s="75"/>
      <c r="BM221" s="75"/>
      <c r="BN221" s="75"/>
      <c r="BO221" s="75"/>
      <c r="BP221" s="75"/>
      <c r="BQ221" s="75"/>
      <c r="BR221" s="75"/>
      <c r="BS221" s="75"/>
      <c r="BT221" s="75"/>
      <c r="BU221" s="75"/>
      <c r="BV221" s="75"/>
      <c r="BW221" s="75"/>
      <c r="BX221" s="75"/>
    </row>
    <row r="222">
      <c r="A222" s="76" t="str">
        <f t="shared" si="1"/>
        <v>#REF!</v>
      </c>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c r="AA222" s="75"/>
      <c r="AB222" s="75"/>
      <c r="AC222" s="75"/>
      <c r="AD222" s="75"/>
      <c r="AE222" s="75"/>
      <c r="AF222" s="75"/>
      <c r="AG222" s="75"/>
      <c r="AH222" s="75"/>
      <c r="AI222" s="75"/>
      <c r="AJ222" s="75"/>
      <c r="AK222" s="75"/>
      <c r="AL222" s="75"/>
      <c r="AM222" s="75"/>
      <c r="AN222" s="75"/>
      <c r="AO222" s="75"/>
      <c r="AP222" s="75"/>
      <c r="AQ222" s="75"/>
      <c r="AR222" s="75"/>
      <c r="AS222" s="75"/>
      <c r="AT222" s="75"/>
      <c r="AU222" s="75"/>
      <c r="AV222" s="75"/>
      <c r="AW222" s="75"/>
      <c r="AX222" s="75"/>
      <c r="AY222" s="75"/>
      <c r="AZ222" s="75"/>
      <c r="BA222" s="75"/>
      <c r="BB222" s="75"/>
      <c r="BC222" s="75"/>
      <c r="BD222" s="75"/>
      <c r="BE222" s="75"/>
      <c r="BF222" s="75"/>
      <c r="BG222" s="75"/>
      <c r="BH222" s="75"/>
      <c r="BI222" s="75"/>
      <c r="BJ222" s="75"/>
      <c r="BK222" s="75"/>
      <c r="BL222" s="75"/>
      <c r="BM222" s="75"/>
      <c r="BN222" s="75"/>
      <c r="BO222" s="75"/>
      <c r="BP222" s="75"/>
      <c r="BQ222" s="75"/>
      <c r="BR222" s="75"/>
      <c r="BS222" s="75"/>
      <c r="BT222" s="75"/>
      <c r="BU222" s="75"/>
      <c r="BV222" s="75"/>
      <c r="BW222" s="75"/>
      <c r="BX222" s="75"/>
    </row>
    <row r="223">
      <c r="A223" s="76" t="str">
        <f t="shared" si="1"/>
        <v>#REF!</v>
      </c>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c r="AA223" s="75"/>
      <c r="AB223" s="75"/>
      <c r="AC223" s="75"/>
      <c r="AD223" s="75"/>
      <c r="AE223" s="75"/>
      <c r="AF223" s="75"/>
      <c r="AG223" s="75"/>
      <c r="AH223" s="75"/>
      <c r="AI223" s="75"/>
      <c r="AJ223" s="75"/>
      <c r="AK223" s="75"/>
      <c r="AL223" s="75"/>
      <c r="AM223" s="75"/>
      <c r="AN223" s="75"/>
      <c r="AO223" s="75"/>
      <c r="AP223" s="75"/>
      <c r="AQ223" s="75"/>
      <c r="AR223" s="75"/>
      <c r="AS223" s="75"/>
      <c r="AT223" s="75"/>
      <c r="AU223" s="75"/>
      <c r="AV223" s="75"/>
      <c r="AW223" s="75"/>
      <c r="AX223" s="75"/>
      <c r="AY223" s="75"/>
      <c r="AZ223" s="75"/>
      <c r="BA223" s="75"/>
      <c r="BB223" s="75"/>
      <c r="BC223" s="75"/>
      <c r="BD223" s="75"/>
      <c r="BE223" s="75"/>
      <c r="BF223" s="75"/>
      <c r="BG223" s="75"/>
      <c r="BH223" s="75"/>
      <c r="BI223" s="75"/>
      <c r="BJ223" s="75"/>
      <c r="BK223" s="75"/>
      <c r="BL223" s="75"/>
      <c r="BM223" s="75"/>
      <c r="BN223" s="75"/>
      <c r="BO223" s="75"/>
      <c r="BP223" s="75"/>
      <c r="BQ223" s="75"/>
      <c r="BR223" s="75"/>
      <c r="BS223" s="75"/>
      <c r="BT223" s="75"/>
      <c r="BU223" s="75"/>
      <c r="BV223" s="75"/>
      <c r="BW223" s="75"/>
      <c r="BX223" s="75"/>
    </row>
    <row r="224">
      <c r="A224" s="76" t="str">
        <f t="shared" si="1"/>
        <v>#REF!</v>
      </c>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c r="AA224" s="75"/>
      <c r="AB224" s="75"/>
      <c r="AC224" s="75"/>
      <c r="AD224" s="75"/>
      <c r="AE224" s="75"/>
      <c r="AF224" s="75"/>
      <c r="AG224" s="75"/>
      <c r="AH224" s="75"/>
      <c r="AI224" s="75"/>
      <c r="AJ224" s="75"/>
      <c r="AK224" s="75"/>
      <c r="AL224" s="75"/>
      <c r="AM224" s="75"/>
      <c r="AN224" s="75"/>
      <c r="AO224" s="75"/>
      <c r="AP224" s="75"/>
      <c r="AQ224" s="75"/>
      <c r="AR224" s="75"/>
      <c r="AS224" s="75"/>
      <c r="AT224" s="75"/>
      <c r="AU224" s="75"/>
      <c r="AV224" s="75"/>
      <c r="AW224" s="75"/>
      <c r="AX224" s="75"/>
      <c r="AY224" s="75"/>
      <c r="AZ224" s="75"/>
      <c r="BA224" s="75"/>
      <c r="BB224" s="75"/>
      <c r="BC224" s="75"/>
      <c r="BD224" s="75"/>
      <c r="BE224" s="75"/>
      <c r="BF224" s="75"/>
      <c r="BG224" s="75"/>
      <c r="BH224" s="75"/>
      <c r="BI224" s="75"/>
      <c r="BJ224" s="75"/>
      <c r="BK224" s="75"/>
      <c r="BL224" s="75"/>
      <c r="BM224" s="75"/>
      <c r="BN224" s="75"/>
      <c r="BO224" s="75"/>
      <c r="BP224" s="75"/>
      <c r="BQ224" s="75"/>
      <c r="BR224" s="75"/>
      <c r="BS224" s="75"/>
      <c r="BT224" s="75"/>
      <c r="BU224" s="75"/>
      <c r="BV224" s="75"/>
      <c r="BW224" s="75"/>
      <c r="BX224" s="75"/>
    </row>
    <row r="225">
      <c r="A225" s="76" t="str">
        <f t="shared" si="1"/>
        <v>#REF!</v>
      </c>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c r="AA225" s="75"/>
      <c r="AB225" s="75"/>
      <c r="AC225" s="75"/>
      <c r="AD225" s="75"/>
      <c r="AE225" s="75"/>
      <c r="AF225" s="75"/>
      <c r="AG225" s="75"/>
      <c r="AH225" s="75"/>
      <c r="AI225" s="75"/>
      <c r="AJ225" s="75"/>
      <c r="AK225" s="75"/>
      <c r="AL225" s="75"/>
      <c r="AM225" s="75"/>
      <c r="AN225" s="75"/>
      <c r="AO225" s="75"/>
      <c r="AP225" s="75"/>
      <c r="AQ225" s="75"/>
      <c r="AR225" s="75"/>
      <c r="AS225" s="75"/>
      <c r="AT225" s="75"/>
      <c r="AU225" s="75"/>
      <c r="AV225" s="75"/>
      <c r="AW225" s="75"/>
      <c r="AX225" s="75"/>
      <c r="AY225" s="75"/>
      <c r="AZ225" s="75"/>
      <c r="BA225" s="75"/>
      <c r="BB225" s="75"/>
      <c r="BC225" s="75"/>
      <c r="BD225" s="75"/>
      <c r="BE225" s="75"/>
      <c r="BF225" s="75"/>
      <c r="BG225" s="75"/>
      <c r="BH225" s="75"/>
      <c r="BI225" s="75"/>
      <c r="BJ225" s="75"/>
      <c r="BK225" s="75"/>
      <c r="BL225" s="75"/>
      <c r="BM225" s="75"/>
      <c r="BN225" s="75"/>
      <c r="BO225" s="75"/>
      <c r="BP225" s="75"/>
      <c r="BQ225" s="75"/>
      <c r="BR225" s="75"/>
      <c r="BS225" s="75"/>
      <c r="BT225" s="75"/>
      <c r="BU225" s="75"/>
      <c r="BV225" s="75"/>
      <c r="BW225" s="75"/>
      <c r="BX225" s="75"/>
    </row>
    <row r="226">
      <c r="A226" s="76" t="str">
        <f t="shared" si="1"/>
        <v>#REF!</v>
      </c>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c r="AA226" s="75"/>
      <c r="AB226" s="75"/>
      <c r="AC226" s="75"/>
      <c r="AD226" s="75"/>
      <c r="AE226" s="75"/>
      <c r="AF226" s="75"/>
      <c r="AG226" s="75"/>
      <c r="AH226" s="75"/>
      <c r="AI226" s="75"/>
      <c r="AJ226" s="75"/>
      <c r="AK226" s="75"/>
      <c r="AL226" s="75"/>
      <c r="AM226" s="75"/>
      <c r="AN226" s="75"/>
      <c r="AO226" s="75"/>
      <c r="AP226" s="75"/>
      <c r="AQ226" s="75"/>
      <c r="AR226" s="75"/>
      <c r="AS226" s="75"/>
      <c r="AT226" s="75"/>
      <c r="AU226" s="75"/>
      <c r="AV226" s="75"/>
      <c r="AW226" s="75"/>
      <c r="AX226" s="75"/>
      <c r="AY226" s="75"/>
      <c r="AZ226" s="75"/>
      <c r="BA226" s="75"/>
      <c r="BB226" s="75"/>
      <c r="BC226" s="75"/>
      <c r="BD226" s="75"/>
      <c r="BE226" s="75"/>
      <c r="BF226" s="75"/>
      <c r="BG226" s="75"/>
      <c r="BH226" s="75"/>
      <c r="BI226" s="75"/>
      <c r="BJ226" s="75"/>
      <c r="BK226" s="75"/>
      <c r="BL226" s="75"/>
      <c r="BM226" s="75"/>
      <c r="BN226" s="75"/>
      <c r="BO226" s="75"/>
      <c r="BP226" s="75"/>
      <c r="BQ226" s="75"/>
      <c r="BR226" s="75"/>
      <c r="BS226" s="75"/>
      <c r="BT226" s="75"/>
      <c r="BU226" s="75"/>
      <c r="BV226" s="75"/>
      <c r="BW226" s="75"/>
      <c r="BX226" s="75"/>
    </row>
    <row r="227">
      <c r="A227" s="76" t="str">
        <f t="shared" si="1"/>
        <v>#REF!</v>
      </c>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c r="AA227" s="75"/>
      <c r="AB227" s="75"/>
      <c r="AC227" s="75"/>
      <c r="AD227" s="75"/>
      <c r="AE227" s="75"/>
      <c r="AF227" s="75"/>
      <c r="AG227" s="75"/>
      <c r="AH227" s="75"/>
      <c r="AI227" s="75"/>
      <c r="AJ227" s="75"/>
      <c r="AK227" s="75"/>
      <c r="AL227" s="75"/>
      <c r="AM227" s="75"/>
      <c r="AN227" s="75"/>
      <c r="AO227" s="75"/>
      <c r="AP227" s="75"/>
      <c r="AQ227" s="75"/>
      <c r="AR227" s="75"/>
      <c r="AS227" s="75"/>
      <c r="AT227" s="75"/>
      <c r="AU227" s="75"/>
      <c r="AV227" s="75"/>
      <c r="AW227" s="75"/>
      <c r="AX227" s="75"/>
      <c r="AY227" s="75"/>
      <c r="AZ227" s="75"/>
      <c r="BA227" s="75"/>
      <c r="BB227" s="75"/>
      <c r="BC227" s="75"/>
      <c r="BD227" s="75"/>
      <c r="BE227" s="75"/>
      <c r="BF227" s="75"/>
      <c r="BG227" s="75"/>
      <c r="BH227" s="75"/>
      <c r="BI227" s="75"/>
      <c r="BJ227" s="75"/>
      <c r="BK227" s="75"/>
      <c r="BL227" s="75"/>
      <c r="BM227" s="75"/>
      <c r="BN227" s="75"/>
      <c r="BO227" s="75"/>
      <c r="BP227" s="75"/>
      <c r="BQ227" s="75"/>
      <c r="BR227" s="75"/>
      <c r="BS227" s="75"/>
      <c r="BT227" s="75"/>
      <c r="BU227" s="75"/>
      <c r="BV227" s="75"/>
      <c r="BW227" s="75"/>
      <c r="BX227" s="75"/>
    </row>
    <row r="228">
      <c r="A228" s="76" t="str">
        <f t="shared" si="1"/>
        <v>#REF!</v>
      </c>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c r="AA228" s="75"/>
      <c r="AB228" s="75"/>
      <c r="AC228" s="75"/>
      <c r="AD228" s="75"/>
      <c r="AE228" s="75"/>
      <c r="AF228" s="75"/>
      <c r="AG228" s="75"/>
      <c r="AH228" s="75"/>
      <c r="AI228" s="75"/>
      <c r="AJ228" s="75"/>
      <c r="AK228" s="75"/>
      <c r="AL228" s="75"/>
      <c r="AM228" s="75"/>
      <c r="AN228" s="75"/>
      <c r="AO228" s="75"/>
      <c r="AP228" s="75"/>
      <c r="AQ228" s="75"/>
      <c r="AR228" s="75"/>
      <c r="AS228" s="75"/>
      <c r="AT228" s="75"/>
      <c r="AU228" s="75"/>
      <c r="AV228" s="75"/>
      <c r="AW228" s="75"/>
      <c r="AX228" s="75"/>
      <c r="AY228" s="75"/>
      <c r="AZ228" s="75"/>
      <c r="BA228" s="75"/>
      <c r="BB228" s="75"/>
      <c r="BC228" s="75"/>
      <c r="BD228" s="75"/>
      <c r="BE228" s="75"/>
      <c r="BF228" s="75"/>
      <c r="BG228" s="75"/>
      <c r="BH228" s="75"/>
      <c r="BI228" s="75"/>
      <c r="BJ228" s="75"/>
      <c r="BK228" s="75"/>
      <c r="BL228" s="75"/>
      <c r="BM228" s="75"/>
      <c r="BN228" s="75"/>
      <c r="BO228" s="75"/>
      <c r="BP228" s="75"/>
      <c r="BQ228" s="75"/>
      <c r="BR228" s="75"/>
      <c r="BS228" s="75"/>
      <c r="BT228" s="75"/>
      <c r="BU228" s="75"/>
      <c r="BV228" s="75"/>
      <c r="BW228" s="75"/>
      <c r="BX228" s="75"/>
    </row>
    <row r="229">
      <c r="A229" s="76" t="str">
        <f t="shared" si="1"/>
        <v>#REF!</v>
      </c>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c r="AA229" s="75"/>
      <c r="AB229" s="75"/>
      <c r="AC229" s="75"/>
      <c r="AD229" s="75"/>
      <c r="AE229" s="75"/>
      <c r="AF229" s="75"/>
      <c r="AG229" s="75"/>
      <c r="AH229" s="75"/>
      <c r="AI229" s="75"/>
      <c r="AJ229" s="75"/>
      <c r="AK229" s="75"/>
      <c r="AL229" s="75"/>
      <c r="AM229" s="75"/>
      <c r="AN229" s="75"/>
      <c r="AO229" s="75"/>
      <c r="AP229" s="75"/>
      <c r="AQ229" s="75"/>
      <c r="AR229" s="75"/>
      <c r="AS229" s="75"/>
      <c r="AT229" s="75"/>
      <c r="AU229" s="75"/>
      <c r="AV229" s="75"/>
      <c r="AW229" s="75"/>
      <c r="AX229" s="75"/>
      <c r="AY229" s="75"/>
      <c r="AZ229" s="75"/>
      <c r="BA229" s="75"/>
      <c r="BB229" s="75"/>
      <c r="BC229" s="75"/>
      <c r="BD229" s="75"/>
      <c r="BE229" s="75"/>
      <c r="BF229" s="75"/>
      <c r="BG229" s="75"/>
      <c r="BH229" s="75"/>
      <c r="BI229" s="75"/>
      <c r="BJ229" s="75"/>
      <c r="BK229" s="75"/>
      <c r="BL229" s="75"/>
      <c r="BM229" s="75"/>
      <c r="BN229" s="75"/>
      <c r="BO229" s="75"/>
      <c r="BP229" s="75"/>
      <c r="BQ229" s="75"/>
      <c r="BR229" s="75"/>
      <c r="BS229" s="75"/>
      <c r="BT229" s="75"/>
      <c r="BU229" s="75"/>
      <c r="BV229" s="75"/>
      <c r="BW229" s="75"/>
      <c r="BX229" s="75"/>
    </row>
    <row r="230">
      <c r="A230" s="76" t="str">
        <f t="shared" si="1"/>
        <v>#REF!</v>
      </c>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c r="AA230" s="75"/>
      <c r="AB230" s="75"/>
      <c r="AC230" s="75"/>
      <c r="AD230" s="75"/>
      <c r="AE230" s="75"/>
      <c r="AF230" s="75"/>
      <c r="AG230" s="75"/>
      <c r="AH230" s="75"/>
      <c r="AI230" s="75"/>
      <c r="AJ230" s="75"/>
      <c r="AK230" s="75"/>
      <c r="AL230" s="75"/>
      <c r="AM230" s="75"/>
      <c r="AN230" s="75"/>
      <c r="AO230" s="75"/>
      <c r="AP230" s="75"/>
      <c r="AQ230" s="75"/>
      <c r="AR230" s="75"/>
      <c r="AS230" s="75"/>
      <c r="AT230" s="75"/>
      <c r="AU230" s="75"/>
      <c r="AV230" s="75"/>
      <c r="AW230" s="75"/>
      <c r="AX230" s="75"/>
      <c r="AY230" s="75"/>
      <c r="AZ230" s="75"/>
      <c r="BA230" s="75"/>
      <c r="BB230" s="75"/>
      <c r="BC230" s="75"/>
      <c r="BD230" s="75"/>
      <c r="BE230" s="75"/>
      <c r="BF230" s="75"/>
      <c r="BG230" s="75"/>
      <c r="BH230" s="75"/>
      <c r="BI230" s="75"/>
      <c r="BJ230" s="75"/>
      <c r="BK230" s="75"/>
      <c r="BL230" s="75"/>
      <c r="BM230" s="75"/>
      <c r="BN230" s="75"/>
      <c r="BO230" s="75"/>
      <c r="BP230" s="75"/>
      <c r="BQ230" s="75"/>
      <c r="BR230" s="75"/>
      <c r="BS230" s="75"/>
      <c r="BT230" s="75"/>
      <c r="BU230" s="75"/>
      <c r="BV230" s="75"/>
      <c r="BW230" s="75"/>
      <c r="BX230" s="75"/>
    </row>
    <row r="231">
      <c r="A231" s="76" t="str">
        <f t="shared" si="1"/>
        <v>#REF!</v>
      </c>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c r="AA231" s="75"/>
      <c r="AB231" s="75"/>
      <c r="AC231" s="75"/>
      <c r="AD231" s="75"/>
      <c r="AE231" s="75"/>
      <c r="AF231" s="75"/>
      <c r="AG231" s="75"/>
      <c r="AH231" s="75"/>
      <c r="AI231" s="75"/>
      <c r="AJ231" s="75"/>
      <c r="AK231" s="75"/>
      <c r="AL231" s="75"/>
      <c r="AM231" s="75"/>
      <c r="AN231" s="75"/>
      <c r="AO231" s="75"/>
      <c r="AP231" s="75"/>
      <c r="AQ231" s="75"/>
      <c r="AR231" s="75"/>
      <c r="AS231" s="75"/>
      <c r="AT231" s="75"/>
      <c r="AU231" s="75"/>
      <c r="AV231" s="75"/>
      <c r="AW231" s="75"/>
      <c r="AX231" s="75"/>
      <c r="AY231" s="75"/>
      <c r="AZ231" s="75"/>
      <c r="BA231" s="75"/>
      <c r="BB231" s="75"/>
      <c r="BC231" s="75"/>
      <c r="BD231" s="75"/>
      <c r="BE231" s="75"/>
      <c r="BF231" s="75"/>
      <c r="BG231" s="75"/>
      <c r="BH231" s="75"/>
      <c r="BI231" s="75"/>
      <c r="BJ231" s="75"/>
      <c r="BK231" s="75"/>
      <c r="BL231" s="75"/>
      <c r="BM231" s="75"/>
      <c r="BN231" s="75"/>
      <c r="BO231" s="75"/>
      <c r="BP231" s="75"/>
      <c r="BQ231" s="75"/>
      <c r="BR231" s="75"/>
      <c r="BS231" s="75"/>
      <c r="BT231" s="75"/>
      <c r="BU231" s="75"/>
      <c r="BV231" s="75"/>
      <c r="BW231" s="75"/>
      <c r="BX231" s="75"/>
    </row>
    <row r="232">
      <c r="A232" s="76" t="str">
        <f t="shared" si="1"/>
        <v>#REF!</v>
      </c>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c r="AA232" s="75"/>
      <c r="AB232" s="75"/>
      <c r="AC232" s="75"/>
      <c r="AD232" s="75"/>
      <c r="AE232" s="75"/>
      <c r="AF232" s="75"/>
      <c r="AG232" s="75"/>
      <c r="AH232" s="75"/>
      <c r="AI232" s="75"/>
      <c r="AJ232" s="75"/>
      <c r="AK232" s="75"/>
      <c r="AL232" s="75"/>
      <c r="AM232" s="75"/>
      <c r="AN232" s="75"/>
      <c r="AO232" s="75"/>
      <c r="AP232" s="75"/>
      <c r="AQ232" s="75"/>
      <c r="AR232" s="75"/>
      <c r="AS232" s="75"/>
      <c r="AT232" s="75"/>
      <c r="AU232" s="75"/>
      <c r="AV232" s="75"/>
      <c r="AW232" s="75"/>
      <c r="AX232" s="75"/>
      <c r="AY232" s="75"/>
      <c r="AZ232" s="75"/>
      <c r="BA232" s="75"/>
      <c r="BB232" s="75"/>
      <c r="BC232" s="75"/>
      <c r="BD232" s="75"/>
      <c r="BE232" s="75"/>
      <c r="BF232" s="75"/>
      <c r="BG232" s="75"/>
      <c r="BH232" s="75"/>
      <c r="BI232" s="75"/>
      <c r="BJ232" s="75"/>
      <c r="BK232" s="75"/>
      <c r="BL232" s="75"/>
      <c r="BM232" s="75"/>
      <c r="BN232" s="75"/>
      <c r="BO232" s="75"/>
      <c r="BP232" s="75"/>
      <c r="BQ232" s="75"/>
      <c r="BR232" s="75"/>
      <c r="BS232" s="75"/>
      <c r="BT232" s="75"/>
      <c r="BU232" s="75"/>
      <c r="BV232" s="75"/>
      <c r="BW232" s="75"/>
      <c r="BX232" s="75"/>
    </row>
    <row r="233">
      <c r="A233" s="76" t="str">
        <f t="shared" si="1"/>
        <v>#REF!</v>
      </c>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c r="AA233" s="75"/>
      <c r="AB233" s="75"/>
      <c r="AC233" s="75"/>
      <c r="AD233" s="75"/>
      <c r="AE233" s="75"/>
      <c r="AF233" s="75"/>
      <c r="AG233" s="75"/>
      <c r="AH233" s="75"/>
      <c r="AI233" s="75"/>
      <c r="AJ233" s="75"/>
      <c r="AK233" s="75"/>
      <c r="AL233" s="75"/>
      <c r="AM233" s="75"/>
      <c r="AN233" s="75"/>
      <c r="AO233" s="75"/>
      <c r="AP233" s="75"/>
      <c r="AQ233" s="75"/>
      <c r="AR233" s="75"/>
      <c r="AS233" s="75"/>
      <c r="AT233" s="75"/>
      <c r="AU233" s="75"/>
      <c r="AV233" s="75"/>
      <c r="AW233" s="75"/>
      <c r="AX233" s="75"/>
      <c r="AY233" s="75"/>
      <c r="AZ233" s="75"/>
      <c r="BA233" s="75"/>
      <c r="BB233" s="75"/>
      <c r="BC233" s="75"/>
      <c r="BD233" s="75"/>
      <c r="BE233" s="75"/>
      <c r="BF233" s="75"/>
      <c r="BG233" s="75"/>
      <c r="BH233" s="75"/>
      <c r="BI233" s="75"/>
      <c r="BJ233" s="75"/>
      <c r="BK233" s="75"/>
      <c r="BL233" s="75"/>
      <c r="BM233" s="75"/>
      <c r="BN233" s="75"/>
      <c r="BO233" s="75"/>
      <c r="BP233" s="75"/>
      <c r="BQ233" s="75"/>
      <c r="BR233" s="75"/>
      <c r="BS233" s="75"/>
      <c r="BT233" s="75"/>
      <c r="BU233" s="75"/>
      <c r="BV233" s="75"/>
      <c r="BW233" s="75"/>
      <c r="BX233" s="75"/>
    </row>
    <row r="234">
      <c r="A234" s="76" t="str">
        <f t="shared" si="1"/>
        <v>#REF!</v>
      </c>
      <c r="B234" s="76"/>
      <c r="C234" s="76"/>
      <c r="D234" s="75"/>
      <c r="E234" s="75"/>
      <c r="F234" s="75"/>
      <c r="G234" s="75"/>
      <c r="H234" s="75"/>
      <c r="I234" s="75"/>
      <c r="J234" s="75"/>
      <c r="K234" s="75"/>
      <c r="L234" s="75"/>
      <c r="M234" s="75"/>
      <c r="N234" s="75"/>
      <c r="O234" s="75"/>
      <c r="P234" s="75"/>
      <c r="Q234" s="75"/>
      <c r="R234" s="75"/>
      <c r="S234" s="75"/>
      <c r="T234" s="75"/>
      <c r="U234" s="75"/>
      <c r="V234" s="75"/>
      <c r="W234" s="75"/>
      <c r="X234" s="75"/>
      <c r="Y234" s="75"/>
      <c r="Z234" s="75"/>
      <c r="AA234" s="75"/>
      <c r="AB234" s="75"/>
      <c r="AC234" s="75"/>
      <c r="AD234" s="75"/>
      <c r="AE234" s="75"/>
      <c r="AF234" s="75"/>
      <c r="AG234" s="75"/>
      <c r="AH234" s="75"/>
      <c r="AI234" s="75"/>
      <c r="AJ234" s="75"/>
      <c r="AK234" s="75"/>
      <c r="AL234" s="75"/>
      <c r="AM234" s="75"/>
      <c r="AN234" s="75"/>
      <c r="AO234" s="75"/>
      <c r="AP234" s="75"/>
      <c r="AQ234" s="75"/>
      <c r="AR234" s="75"/>
      <c r="AS234" s="75"/>
      <c r="AT234" s="75"/>
      <c r="AU234" s="75"/>
      <c r="AV234" s="75"/>
      <c r="AW234" s="75"/>
      <c r="AX234" s="75"/>
      <c r="AY234" s="75"/>
      <c r="AZ234" s="75"/>
      <c r="BA234" s="75"/>
      <c r="BB234" s="75"/>
      <c r="BC234" s="75"/>
      <c r="BD234" s="75"/>
      <c r="BE234" s="75"/>
      <c r="BF234" s="75"/>
      <c r="BG234" s="75"/>
      <c r="BH234" s="75"/>
      <c r="BI234" s="75"/>
      <c r="BJ234" s="75"/>
      <c r="BK234" s="75"/>
      <c r="BL234" s="75"/>
      <c r="BM234" s="75"/>
      <c r="BN234" s="75"/>
      <c r="BO234" s="75"/>
      <c r="BP234" s="75"/>
      <c r="BQ234" s="75"/>
      <c r="BR234" s="75"/>
      <c r="BS234" s="75"/>
      <c r="BT234" s="75"/>
      <c r="BU234" s="75"/>
      <c r="BV234" s="75"/>
      <c r="BW234" s="75"/>
      <c r="BX234" s="75"/>
    </row>
    <row r="235">
      <c r="A235" s="76" t="str">
        <f t="shared" si="1"/>
        <v>#REF!</v>
      </c>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c r="AA235" s="75"/>
      <c r="AB235" s="75"/>
      <c r="AC235" s="75"/>
      <c r="AD235" s="75"/>
      <c r="AE235" s="75"/>
      <c r="AF235" s="75"/>
      <c r="AG235" s="75"/>
      <c r="AH235" s="75"/>
      <c r="AI235" s="75"/>
      <c r="AJ235" s="75"/>
      <c r="AK235" s="75"/>
      <c r="AL235" s="75"/>
      <c r="AM235" s="75"/>
      <c r="AN235" s="75"/>
      <c r="AO235" s="75"/>
      <c r="AP235" s="75"/>
      <c r="AQ235" s="75"/>
      <c r="AR235" s="75"/>
      <c r="AS235" s="75"/>
      <c r="AT235" s="75"/>
      <c r="AU235" s="75"/>
      <c r="AV235" s="75"/>
      <c r="AW235" s="75"/>
      <c r="AX235" s="75"/>
      <c r="AY235" s="75"/>
      <c r="AZ235" s="75"/>
      <c r="BA235" s="75"/>
      <c r="BB235" s="75"/>
      <c r="BC235" s="75"/>
      <c r="BD235" s="75"/>
      <c r="BE235" s="75"/>
      <c r="BF235" s="75"/>
      <c r="BG235" s="75"/>
      <c r="BH235" s="75"/>
      <c r="BI235" s="75"/>
      <c r="BJ235" s="75"/>
      <c r="BK235" s="75"/>
      <c r="BL235" s="75"/>
      <c r="BM235" s="75"/>
      <c r="BN235" s="75"/>
      <c r="BO235" s="75"/>
      <c r="BP235" s="75"/>
      <c r="BQ235" s="75"/>
      <c r="BR235" s="75"/>
      <c r="BS235" s="75"/>
      <c r="BT235" s="75"/>
      <c r="BU235" s="75"/>
      <c r="BV235" s="75"/>
      <c r="BW235" s="75"/>
      <c r="BX235" s="75"/>
    </row>
    <row r="236">
      <c r="A236" s="76" t="str">
        <f t="shared" si="1"/>
        <v>#REF!</v>
      </c>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c r="AA236" s="75"/>
      <c r="AB236" s="75"/>
      <c r="AC236" s="75"/>
      <c r="AD236" s="75"/>
      <c r="AE236" s="75"/>
      <c r="AF236" s="75"/>
      <c r="AG236" s="75"/>
      <c r="AH236" s="75"/>
      <c r="AI236" s="75"/>
      <c r="AJ236" s="75"/>
      <c r="AK236" s="75"/>
      <c r="AL236" s="75"/>
      <c r="AM236" s="75"/>
      <c r="AN236" s="75"/>
      <c r="AO236" s="75"/>
      <c r="AP236" s="75"/>
      <c r="AQ236" s="75"/>
      <c r="AR236" s="75"/>
      <c r="AS236" s="75"/>
      <c r="AT236" s="75"/>
      <c r="AU236" s="75"/>
      <c r="AV236" s="75"/>
      <c r="AW236" s="75"/>
      <c r="AX236" s="75"/>
      <c r="AY236" s="75"/>
      <c r="AZ236" s="75"/>
      <c r="BA236" s="75"/>
      <c r="BB236" s="75"/>
      <c r="BC236" s="75"/>
      <c r="BD236" s="75"/>
      <c r="BE236" s="75"/>
      <c r="BF236" s="75"/>
      <c r="BG236" s="75"/>
      <c r="BH236" s="75"/>
      <c r="BI236" s="75"/>
      <c r="BJ236" s="75"/>
      <c r="BK236" s="75"/>
      <c r="BL236" s="75"/>
      <c r="BM236" s="75"/>
      <c r="BN236" s="75"/>
      <c r="BO236" s="75"/>
      <c r="BP236" s="75"/>
      <c r="BQ236" s="75"/>
      <c r="BR236" s="75"/>
      <c r="BS236" s="75"/>
      <c r="BT236" s="75"/>
      <c r="BU236" s="75"/>
      <c r="BV236" s="75"/>
      <c r="BW236" s="75"/>
      <c r="BX236" s="75"/>
    </row>
    <row r="237">
      <c r="A237" s="76" t="str">
        <f t="shared" si="1"/>
        <v>#REF!</v>
      </c>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c r="AA237" s="75"/>
      <c r="AB237" s="75"/>
      <c r="AC237" s="75"/>
      <c r="AD237" s="75"/>
      <c r="AE237" s="75"/>
      <c r="AF237" s="75"/>
      <c r="AG237" s="75"/>
      <c r="AH237" s="75"/>
      <c r="AI237" s="75"/>
      <c r="AJ237" s="75"/>
      <c r="AK237" s="75"/>
      <c r="AL237" s="75"/>
      <c r="AM237" s="75"/>
      <c r="AN237" s="75"/>
      <c r="AO237" s="75"/>
      <c r="AP237" s="75"/>
      <c r="AQ237" s="75"/>
      <c r="AR237" s="75"/>
      <c r="AS237" s="75"/>
      <c r="AT237" s="75"/>
      <c r="AU237" s="75"/>
      <c r="AV237" s="75"/>
      <c r="AW237" s="75"/>
      <c r="AX237" s="75"/>
      <c r="AY237" s="75"/>
      <c r="AZ237" s="75"/>
      <c r="BA237" s="75"/>
      <c r="BB237" s="75"/>
      <c r="BC237" s="75"/>
      <c r="BD237" s="75"/>
      <c r="BE237" s="75"/>
      <c r="BF237" s="75"/>
      <c r="BG237" s="75"/>
      <c r="BH237" s="75"/>
      <c r="BI237" s="75"/>
      <c r="BJ237" s="75"/>
      <c r="BK237" s="75"/>
      <c r="BL237" s="75"/>
      <c r="BM237" s="75"/>
      <c r="BN237" s="75"/>
      <c r="BO237" s="75"/>
      <c r="BP237" s="75"/>
      <c r="BQ237" s="75"/>
      <c r="BR237" s="75"/>
      <c r="BS237" s="75"/>
      <c r="BT237" s="75"/>
      <c r="BU237" s="75"/>
      <c r="BV237" s="75"/>
      <c r="BW237" s="75"/>
      <c r="BX237" s="75"/>
    </row>
    <row r="238">
      <c r="A238" s="76" t="str">
        <f t="shared" si="1"/>
        <v>#REF!</v>
      </c>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c r="AA238" s="75"/>
      <c r="AB238" s="75"/>
      <c r="AC238" s="75"/>
      <c r="AD238" s="75"/>
      <c r="AE238" s="75"/>
      <c r="AF238" s="75"/>
      <c r="AG238" s="75"/>
      <c r="AH238" s="75"/>
      <c r="AI238" s="75"/>
      <c r="AJ238" s="75"/>
      <c r="AK238" s="75"/>
      <c r="AL238" s="75"/>
      <c r="AM238" s="75"/>
      <c r="AN238" s="75"/>
      <c r="AO238" s="75"/>
      <c r="AP238" s="75"/>
      <c r="AQ238" s="75"/>
      <c r="AR238" s="75"/>
      <c r="AS238" s="75"/>
      <c r="AT238" s="75"/>
      <c r="AU238" s="75"/>
      <c r="AV238" s="75"/>
      <c r="AW238" s="75"/>
      <c r="AX238" s="75"/>
      <c r="AY238" s="75"/>
      <c r="AZ238" s="75"/>
      <c r="BA238" s="75"/>
      <c r="BB238" s="75"/>
      <c r="BC238" s="75"/>
      <c r="BD238" s="75"/>
      <c r="BE238" s="75"/>
      <c r="BF238" s="75"/>
      <c r="BG238" s="75"/>
      <c r="BH238" s="75"/>
      <c r="BI238" s="75"/>
      <c r="BJ238" s="75"/>
      <c r="BK238" s="75"/>
      <c r="BL238" s="75"/>
      <c r="BM238" s="75"/>
      <c r="BN238" s="75"/>
      <c r="BO238" s="75"/>
      <c r="BP238" s="75"/>
      <c r="BQ238" s="75"/>
      <c r="BR238" s="75"/>
      <c r="BS238" s="75"/>
      <c r="BT238" s="75"/>
      <c r="BU238" s="75"/>
      <c r="BV238" s="75"/>
      <c r="BW238" s="75"/>
      <c r="BX238" s="75"/>
    </row>
    <row r="239">
      <c r="A239" s="76" t="str">
        <f t="shared" si="1"/>
        <v>#REF!</v>
      </c>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c r="AA239" s="75"/>
      <c r="AB239" s="75"/>
      <c r="AC239" s="75"/>
      <c r="AD239" s="75"/>
      <c r="AE239" s="75"/>
      <c r="AF239" s="75"/>
      <c r="AG239" s="75"/>
      <c r="AH239" s="75"/>
      <c r="AI239" s="75"/>
      <c r="AJ239" s="75"/>
      <c r="AK239" s="75"/>
      <c r="AL239" s="75"/>
      <c r="AM239" s="75"/>
      <c r="AN239" s="75"/>
      <c r="AO239" s="75"/>
      <c r="AP239" s="75"/>
      <c r="AQ239" s="75"/>
      <c r="AR239" s="75"/>
      <c r="AS239" s="75"/>
      <c r="AT239" s="75"/>
      <c r="AU239" s="75"/>
      <c r="AV239" s="75"/>
      <c r="AW239" s="75"/>
      <c r="AX239" s="75"/>
      <c r="AY239" s="75"/>
      <c r="AZ239" s="75"/>
      <c r="BA239" s="75"/>
      <c r="BB239" s="75"/>
      <c r="BC239" s="75"/>
      <c r="BD239" s="75"/>
      <c r="BE239" s="75"/>
      <c r="BF239" s="75"/>
      <c r="BG239" s="75"/>
      <c r="BH239" s="75"/>
      <c r="BI239" s="75"/>
      <c r="BJ239" s="75"/>
      <c r="BK239" s="75"/>
      <c r="BL239" s="75"/>
      <c r="BM239" s="75"/>
      <c r="BN239" s="75"/>
      <c r="BO239" s="75"/>
      <c r="BP239" s="75"/>
      <c r="BQ239" s="75"/>
      <c r="BR239" s="75"/>
      <c r="BS239" s="75"/>
      <c r="BT239" s="75"/>
      <c r="BU239" s="75"/>
      <c r="BV239" s="75"/>
      <c r="BW239" s="75"/>
      <c r="BX239" s="75"/>
    </row>
    <row r="240">
      <c r="A240" s="76" t="str">
        <f t="shared" si="1"/>
        <v>#REF!</v>
      </c>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c r="AA240" s="75"/>
      <c r="AB240" s="75"/>
      <c r="AC240" s="75"/>
      <c r="AD240" s="75"/>
      <c r="AE240" s="75"/>
      <c r="AF240" s="75"/>
      <c r="AG240" s="75"/>
      <c r="AH240" s="75"/>
      <c r="AI240" s="75"/>
      <c r="AJ240" s="75"/>
      <c r="AK240" s="75"/>
      <c r="AL240" s="75"/>
      <c r="AM240" s="75"/>
      <c r="AN240" s="75"/>
      <c r="AO240" s="75"/>
      <c r="AP240" s="75"/>
      <c r="AQ240" s="75"/>
      <c r="AR240" s="75"/>
      <c r="AS240" s="75"/>
      <c r="AT240" s="75"/>
      <c r="AU240" s="75"/>
      <c r="AV240" s="75"/>
      <c r="AW240" s="75"/>
      <c r="AX240" s="75"/>
      <c r="AY240" s="75"/>
      <c r="AZ240" s="75"/>
      <c r="BA240" s="75"/>
      <c r="BB240" s="75"/>
      <c r="BC240" s="75"/>
      <c r="BD240" s="75"/>
      <c r="BE240" s="75"/>
      <c r="BF240" s="75"/>
      <c r="BG240" s="75"/>
      <c r="BH240" s="75"/>
      <c r="BI240" s="75"/>
      <c r="BJ240" s="75"/>
      <c r="BK240" s="75"/>
      <c r="BL240" s="75"/>
      <c r="BM240" s="75"/>
      <c r="BN240" s="75"/>
      <c r="BO240" s="75"/>
      <c r="BP240" s="75"/>
      <c r="BQ240" s="75"/>
      <c r="BR240" s="75"/>
      <c r="BS240" s="75"/>
      <c r="BT240" s="75"/>
      <c r="BU240" s="75"/>
      <c r="BV240" s="75"/>
      <c r="BW240" s="75"/>
      <c r="BX240" s="75"/>
    </row>
    <row r="241">
      <c r="A241" s="76" t="str">
        <f t="shared" si="1"/>
        <v>#REF!</v>
      </c>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c r="AA241" s="75"/>
      <c r="AB241" s="75"/>
      <c r="AC241" s="75"/>
      <c r="AD241" s="75"/>
      <c r="AE241" s="75"/>
      <c r="AF241" s="75"/>
      <c r="AG241" s="75"/>
      <c r="AH241" s="75"/>
      <c r="AI241" s="75"/>
      <c r="AJ241" s="75"/>
      <c r="AK241" s="75"/>
      <c r="AL241" s="75"/>
      <c r="AM241" s="75"/>
      <c r="AN241" s="75"/>
      <c r="AO241" s="75"/>
      <c r="AP241" s="75"/>
      <c r="AQ241" s="75"/>
      <c r="AR241" s="75"/>
      <c r="AS241" s="75"/>
      <c r="AT241" s="75"/>
      <c r="AU241" s="75"/>
      <c r="AV241" s="75"/>
      <c r="AW241" s="75"/>
      <c r="AX241" s="75"/>
      <c r="AY241" s="75"/>
      <c r="AZ241" s="75"/>
      <c r="BA241" s="75"/>
      <c r="BB241" s="75"/>
      <c r="BC241" s="75"/>
      <c r="BD241" s="75"/>
      <c r="BE241" s="75"/>
      <c r="BF241" s="75"/>
      <c r="BG241" s="75"/>
      <c r="BH241" s="75"/>
      <c r="BI241" s="75"/>
      <c r="BJ241" s="75"/>
      <c r="BK241" s="75"/>
      <c r="BL241" s="75"/>
      <c r="BM241" s="75"/>
      <c r="BN241" s="75"/>
      <c r="BO241" s="75"/>
      <c r="BP241" s="75"/>
      <c r="BQ241" s="75"/>
      <c r="BR241" s="75"/>
      <c r="BS241" s="75"/>
      <c r="BT241" s="75"/>
      <c r="BU241" s="75"/>
      <c r="BV241" s="75"/>
      <c r="BW241" s="75"/>
      <c r="BX241" s="75"/>
    </row>
    <row r="242">
      <c r="A242" s="76" t="str">
        <f t="shared" si="1"/>
        <v>#REF!</v>
      </c>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c r="AA242" s="75"/>
      <c r="AB242" s="75"/>
      <c r="AC242" s="75"/>
      <c r="AD242" s="75"/>
      <c r="AE242" s="75"/>
      <c r="AF242" s="75"/>
      <c r="AG242" s="75"/>
      <c r="AH242" s="75"/>
      <c r="AI242" s="75"/>
      <c r="AJ242" s="75"/>
      <c r="AK242" s="75"/>
      <c r="AL242" s="75"/>
      <c r="AM242" s="75"/>
      <c r="AN242" s="75"/>
      <c r="AO242" s="75"/>
      <c r="AP242" s="75"/>
      <c r="AQ242" s="75"/>
      <c r="AR242" s="75"/>
      <c r="AS242" s="75"/>
      <c r="AT242" s="75"/>
      <c r="AU242" s="75"/>
      <c r="AV242" s="75"/>
      <c r="AW242" s="75"/>
      <c r="AX242" s="75"/>
      <c r="AY242" s="75"/>
      <c r="AZ242" s="75"/>
      <c r="BA242" s="75"/>
      <c r="BB242" s="75"/>
      <c r="BC242" s="75"/>
      <c r="BD242" s="75"/>
      <c r="BE242" s="75"/>
      <c r="BF242" s="75"/>
      <c r="BG242" s="75"/>
      <c r="BH242" s="75"/>
      <c r="BI242" s="75"/>
      <c r="BJ242" s="75"/>
      <c r="BK242" s="75"/>
      <c r="BL242" s="75"/>
      <c r="BM242" s="75"/>
      <c r="BN242" s="75"/>
      <c r="BO242" s="75"/>
      <c r="BP242" s="75"/>
      <c r="BQ242" s="75"/>
      <c r="BR242" s="75"/>
      <c r="BS242" s="75"/>
      <c r="BT242" s="75"/>
      <c r="BU242" s="75"/>
      <c r="BV242" s="75"/>
      <c r="BW242" s="75"/>
      <c r="BX242" s="75"/>
    </row>
    <row r="243">
      <c r="A243" s="76" t="str">
        <f t="shared" si="1"/>
        <v>#REF!</v>
      </c>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c r="AA243" s="75"/>
      <c r="AB243" s="75"/>
      <c r="AC243" s="75"/>
      <c r="AD243" s="75"/>
      <c r="AE243" s="75"/>
      <c r="AF243" s="75"/>
      <c r="AG243" s="75"/>
      <c r="AH243" s="75"/>
      <c r="AI243" s="75"/>
      <c r="AJ243" s="75"/>
      <c r="AK243" s="75"/>
      <c r="AL243" s="75"/>
      <c r="AM243" s="75"/>
      <c r="AN243" s="75"/>
      <c r="AO243" s="75"/>
      <c r="AP243" s="75"/>
      <c r="AQ243" s="75"/>
      <c r="AR243" s="75"/>
      <c r="AS243" s="75"/>
      <c r="AT243" s="75"/>
      <c r="AU243" s="75"/>
      <c r="AV243" s="75"/>
      <c r="AW243" s="75"/>
      <c r="AX243" s="75"/>
      <c r="AY243" s="75"/>
      <c r="AZ243" s="75"/>
      <c r="BA243" s="75"/>
      <c r="BB243" s="75"/>
      <c r="BC243" s="75"/>
      <c r="BD243" s="75"/>
      <c r="BE243" s="75"/>
      <c r="BF243" s="75"/>
      <c r="BG243" s="75"/>
      <c r="BH243" s="75"/>
      <c r="BI243" s="75"/>
      <c r="BJ243" s="75"/>
      <c r="BK243" s="75"/>
      <c r="BL243" s="75"/>
      <c r="BM243" s="75"/>
      <c r="BN243" s="75"/>
      <c r="BO243" s="75"/>
      <c r="BP243" s="75"/>
      <c r="BQ243" s="75"/>
      <c r="BR243" s="75"/>
      <c r="BS243" s="75"/>
      <c r="BT243" s="75"/>
      <c r="BU243" s="75"/>
      <c r="BV243" s="75"/>
      <c r="BW243" s="75"/>
      <c r="BX243" s="75"/>
    </row>
    <row r="244">
      <c r="A244" s="76" t="str">
        <f t="shared" si="1"/>
        <v>#REF!</v>
      </c>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c r="AA244" s="75"/>
      <c r="AB244" s="75"/>
      <c r="AC244" s="75"/>
      <c r="AD244" s="75"/>
      <c r="AE244" s="75"/>
      <c r="AF244" s="75"/>
      <c r="AG244" s="75"/>
      <c r="AH244" s="75"/>
      <c r="AI244" s="75"/>
      <c r="AJ244" s="75"/>
      <c r="AK244" s="75"/>
      <c r="AL244" s="75"/>
      <c r="AM244" s="75"/>
      <c r="AN244" s="75"/>
      <c r="AO244" s="75"/>
      <c r="AP244" s="75"/>
      <c r="AQ244" s="75"/>
      <c r="AR244" s="75"/>
      <c r="AS244" s="75"/>
      <c r="AT244" s="75"/>
      <c r="AU244" s="75"/>
      <c r="AV244" s="75"/>
      <c r="AW244" s="75"/>
      <c r="AX244" s="75"/>
      <c r="AY244" s="75"/>
      <c r="AZ244" s="75"/>
      <c r="BA244" s="75"/>
      <c r="BB244" s="75"/>
      <c r="BC244" s="75"/>
      <c r="BD244" s="75"/>
      <c r="BE244" s="75"/>
      <c r="BF244" s="75"/>
      <c r="BG244" s="75"/>
      <c r="BH244" s="75"/>
      <c r="BI244" s="75"/>
      <c r="BJ244" s="75"/>
      <c r="BK244" s="75"/>
      <c r="BL244" s="75"/>
      <c r="BM244" s="75"/>
      <c r="BN244" s="75"/>
      <c r="BO244" s="75"/>
      <c r="BP244" s="75"/>
      <c r="BQ244" s="75"/>
      <c r="BR244" s="75"/>
      <c r="BS244" s="75"/>
      <c r="BT244" s="75"/>
      <c r="BU244" s="75"/>
      <c r="BV244" s="75"/>
      <c r="BW244" s="75"/>
      <c r="BX244" s="75"/>
    </row>
    <row r="245">
      <c r="A245" s="76" t="str">
        <f t="shared" si="1"/>
        <v>#REF!</v>
      </c>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c r="AA245" s="75"/>
      <c r="AB245" s="75"/>
      <c r="AC245" s="75"/>
      <c r="AD245" s="75"/>
      <c r="AE245" s="75"/>
      <c r="AF245" s="75"/>
      <c r="AG245" s="75"/>
      <c r="AH245" s="75"/>
      <c r="AI245" s="75"/>
      <c r="AJ245" s="75"/>
      <c r="AK245" s="75"/>
      <c r="AL245" s="75"/>
      <c r="AM245" s="75"/>
      <c r="AN245" s="75"/>
      <c r="AO245" s="75"/>
      <c r="AP245" s="75"/>
      <c r="AQ245" s="75"/>
      <c r="AR245" s="75"/>
      <c r="AS245" s="75"/>
      <c r="AT245" s="75"/>
      <c r="AU245" s="75"/>
      <c r="AV245" s="75"/>
      <c r="AW245" s="75"/>
      <c r="AX245" s="75"/>
      <c r="AY245" s="75"/>
      <c r="AZ245" s="75"/>
      <c r="BA245" s="75"/>
      <c r="BB245" s="75"/>
      <c r="BC245" s="75"/>
      <c r="BD245" s="75"/>
      <c r="BE245" s="75"/>
      <c r="BF245" s="75"/>
      <c r="BG245" s="75"/>
      <c r="BH245" s="75"/>
      <c r="BI245" s="75"/>
      <c r="BJ245" s="75"/>
      <c r="BK245" s="75"/>
      <c r="BL245" s="75"/>
      <c r="BM245" s="75"/>
      <c r="BN245" s="75"/>
      <c r="BO245" s="75"/>
      <c r="BP245" s="75"/>
      <c r="BQ245" s="75"/>
      <c r="BR245" s="75"/>
      <c r="BS245" s="75"/>
      <c r="BT245" s="75"/>
      <c r="BU245" s="75"/>
      <c r="BV245" s="75"/>
      <c r="BW245" s="75"/>
      <c r="BX245" s="75"/>
    </row>
    <row r="246">
      <c r="A246" s="76" t="str">
        <f t="shared" si="1"/>
        <v>#REF!</v>
      </c>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c r="AA246" s="75"/>
      <c r="AB246" s="75"/>
      <c r="AC246" s="75"/>
      <c r="AD246" s="75"/>
      <c r="AE246" s="75"/>
      <c r="AF246" s="75"/>
      <c r="AG246" s="75"/>
      <c r="AH246" s="75"/>
      <c r="AI246" s="75"/>
      <c r="AJ246" s="75"/>
      <c r="AK246" s="75"/>
      <c r="AL246" s="75"/>
      <c r="AM246" s="75"/>
      <c r="AN246" s="75"/>
      <c r="AO246" s="75"/>
      <c r="AP246" s="75"/>
      <c r="AQ246" s="75"/>
      <c r="AR246" s="75"/>
      <c r="AS246" s="75"/>
      <c r="AT246" s="75"/>
      <c r="AU246" s="75"/>
      <c r="AV246" s="75"/>
      <c r="AW246" s="75"/>
      <c r="AX246" s="75"/>
      <c r="AY246" s="75"/>
      <c r="AZ246" s="75"/>
      <c r="BA246" s="75"/>
      <c r="BB246" s="75"/>
      <c r="BC246" s="75"/>
      <c r="BD246" s="75"/>
      <c r="BE246" s="75"/>
      <c r="BF246" s="75"/>
      <c r="BG246" s="75"/>
      <c r="BH246" s="75"/>
      <c r="BI246" s="75"/>
      <c r="BJ246" s="75"/>
      <c r="BK246" s="75"/>
      <c r="BL246" s="75"/>
      <c r="BM246" s="75"/>
      <c r="BN246" s="75"/>
      <c r="BO246" s="75"/>
      <c r="BP246" s="75"/>
      <c r="BQ246" s="75"/>
      <c r="BR246" s="75"/>
      <c r="BS246" s="75"/>
      <c r="BT246" s="75"/>
      <c r="BU246" s="75"/>
      <c r="BV246" s="75"/>
      <c r="BW246" s="75"/>
      <c r="BX246" s="75"/>
    </row>
    <row r="247">
      <c r="A247" s="76" t="str">
        <f t="shared" si="1"/>
        <v>#REF!</v>
      </c>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c r="AA247" s="75"/>
      <c r="AB247" s="75"/>
      <c r="AC247" s="75"/>
      <c r="AD247" s="75"/>
      <c r="AE247" s="75"/>
      <c r="AF247" s="75"/>
      <c r="AG247" s="75"/>
      <c r="AH247" s="75"/>
      <c r="AI247" s="75"/>
      <c r="AJ247" s="75"/>
      <c r="AK247" s="75"/>
      <c r="AL247" s="75"/>
      <c r="AM247" s="75"/>
      <c r="AN247" s="75"/>
      <c r="AO247" s="75"/>
      <c r="AP247" s="75"/>
      <c r="AQ247" s="75"/>
      <c r="AR247" s="75"/>
      <c r="AS247" s="75"/>
      <c r="AT247" s="75"/>
      <c r="AU247" s="75"/>
      <c r="AV247" s="75"/>
      <c r="AW247" s="75"/>
      <c r="AX247" s="75"/>
      <c r="AY247" s="75"/>
      <c r="AZ247" s="75"/>
      <c r="BA247" s="75"/>
      <c r="BB247" s="75"/>
      <c r="BC247" s="75"/>
      <c r="BD247" s="75"/>
      <c r="BE247" s="75"/>
      <c r="BF247" s="75"/>
      <c r="BG247" s="75"/>
      <c r="BH247" s="75"/>
      <c r="BI247" s="75"/>
      <c r="BJ247" s="75"/>
      <c r="BK247" s="75"/>
      <c r="BL247" s="75"/>
      <c r="BM247" s="75"/>
      <c r="BN247" s="75"/>
      <c r="BO247" s="75"/>
      <c r="BP247" s="75"/>
      <c r="BQ247" s="75"/>
      <c r="BR247" s="75"/>
      <c r="BS247" s="75"/>
      <c r="BT247" s="75"/>
      <c r="BU247" s="75"/>
      <c r="BV247" s="75"/>
      <c r="BW247" s="75"/>
      <c r="BX247" s="75"/>
    </row>
    <row r="248">
      <c r="A248" s="76" t="str">
        <f t="shared" si="1"/>
        <v>#REF!</v>
      </c>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c r="AA248" s="75"/>
      <c r="AB248" s="75"/>
      <c r="AC248" s="75"/>
      <c r="AD248" s="75"/>
      <c r="AE248" s="75"/>
      <c r="AF248" s="75"/>
      <c r="AG248" s="75"/>
      <c r="AH248" s="75"/>
      <c r="AI248" s="75"/>
      <c r="AJ248" s="75"/>
      <c r="AK248" s="75"/>
      <c r="AL248" s="75"/>
      <c r="AM248" s="75"/>
      <c r="AN248" s="75"/>
      <c r="AO248" s="75"/>
      <c r="AP248" s="75"/>
      <c r="AQ248" s="75"/>
      <c r="AR248" s="75"/>
      <c r="AS248" s="75"/>
      <c r="AT248" s="75"/>
      <c r="AU248" s="75"/>
      <c r="AV248" s="75"/>
      <c r="AW248" s="75"/>
      <c r="AX248" s="75"/>
      <c r="AY248" s="75"/>
      <c r="AZ248" s="75"/>
      <c r="BA248" s="75"/>
      <c r="BB248" s="75"/>
      <c r="BC248" s="75"/>
      <c r="BD248" s="75"/>
      <c r="BE248" s="75"/>
      <c r="BF248" s="75"/>
      <c r="BG248" s="75"/>
      <c r="BH248" s="75"/>
      <c r="BI248" s="75"/>
      <c r="BJ248" s="75"/>
      <c r="BK248" s="75"/>
      <c r="BL248" s="75"/>
      <c r="BM248" s="75"/>
      <c r="BN248" s="75"/>
      <c r="BO248" s="75"/>
      <c r="BP248" s="75"/>
      <c r="BQ248" s="75"/>
      <c r="BR248" s="75"/>
      <c r="BS248" s="75"/>
      <c r="BT248" s="75"/>
      <c r="BU248" s="75"/>
      <c r="BV248" s="75"/>
      <c r="BW248" s="75"/>
      <c r="BX248" s="75"/>
    </row>
    <row r="249">
      <c r="A249" s="76" t="str">
        <f t="shared" si="1"/>
        <v>#REF!</v>
      </c>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c r="AA249" s="75"/>
      <c r="AB249" s="75"/>
      <c r="AC249" s="75"/>
      <c r="AD249" s="75"/>
      <c r="AE249" s="75"/>
      <c r="AF249" s="75"/>
      <c r="AG249" s="75"/>
      <c r="AH249" s="75"/>
      <c r="AI249" s="75"/>
      <c r="AJ249" s="75"/>
      <c r="AK249" s="75"/>
      <c r="AL249" s="75"/>
      <c r="AM249" s="75"/>
      <c r="AN249" s="75"/>
      <c r="AO249" s="75"/>
      <c r="AP249" s="75"/>
      <c r="AQ249" s="75"/>
      <c r="AR249" s="75"/>
      <c r="AS249" s="75"/>
      <c r="AT249" s="75"/>
      <c r="AU249" s="75"/>
      <c r="AV249" s="75"/>
      <c r="AW249" s="75"/>
      <c r="AX249" s="75"/>
      <c r="AY249" s="75"/>
      <c r="AZ249" s="75"/>
      <c r="BA249" s="75"/>
      <c r="BB249" s="75"/>
      <c r="BC249" s="75"/>
      <c r="BD249" s="75"/>
      <c r="BE249" s="75"/>
      <c r="BF249" s="75"/>
      <c r="BG249" s="75"/>
      <c r="BH249" s="75"/>
      <c r="BI249" s="75"/>
      <c r="BJ249" s="75"/>
      <c r="BK249" s="75"/>
      <c r="BL249" s="75"/>
      <c r="BM249" s="75"/>
      <c r="BN249" s="75"/>
      <c r="BO249" s="75"/>
      <c r="BP249" s="75"/>
      <c r="BQ249" s="75"/>
      <c r="BR249" s="75"/>
      <c r="BS249" s="75"/>
      <c r="BT249" s="75"/>
      <c r="BU249" s="75"/>
      <c r="BV249" s="75"/>
      <c r="BW249" s="75"/>
      <c r="BX249" s="75"/>
    </row>
    <row r="250">
      <c r="A250" s="76" t="str">
        <f t="shared" si="1"/>
        <v>#REF!</v>
      </c>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c r="AA250" s="75"/>
      <c r="AB250" s="75"/>
      <c r="AC250" s="75"/>
      <c r="AD250" s="75"/>
      <c r="AE250" s="75"/>
      <c r="AF250" s="75"/>
      <c r="AG250" s="75"/>
      <c r="AH250" s="75"/>
      <c r="AI250" s="75"/>
      <c r="AJ250" s="75"/>
      <c r="AK250" s="75"/>
      <c r="AL250" s="75"/>
      <c r="AM250" s="75"/>
      <c r="AN250" s="75"/>
      <c r="AO250" s="75"/>
      <c r="AP250" s="75"/>
      <c r="AQ250" s="75"/>
      <c r="AR250" s="75"/>
      <c r="AS250" s="75"/>
      <c r="AT250" s="75"/>
      <c r="AU250" s="75"/>
      <c r="AV250" s="75"/>
      <c r="AW250" s="75"/>
      <c r="AX250" s="75"/>
      <c r="AY250" s="75"/>
      <c r="AZ250" s="75"/>
      <c r="BA250" s="75"/>
      <c r="BB250" s="75"/>
      <c r="BC250" s="75"/>
      <c r="BD250" s="75"/>
      <c r="BE250" s="75"/>
      <c r="BF250" s="75"/>
      <c r="BG250" s="75"/>
      <c r="BH250" s="75"/>
      <c r="BI250" s="75"/>
      <c r="BJ250" s="75"/>
      <c r="BK250" s="75"/>
      <c r="BL250" s="75"/>
      <c r="BM250" s="75"/>
      <c r="BN250" s="75"/>
      <c r="BO250" s="75"/>
      <c r="BP250" s="75"/>
      <c r="BQ250" s="75"/>
      <c r="BR250" s="75"/>
      <c r="BS250" s="75"/>
      <c r="BT250" s="75"/>
      <c r="BU250" s="75"/>
      <c r="BV250" s="75"/>
      <c r="BW250" s="75"/>
      <c r="BX250" s="75"/>
    </row>
    <row r="251">
      <c r="A251" s="76" t="str">
        <f t="shared" si="1"/>
        <v>#REF!</v>
      </c>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c r="AA251" s="75"/>
      <c r="AB251" s="75"/>
      <c r="AC251" s="75"/>
      <c r="AD251" s="75"/>
      <c r="AE251" s="75"/>
      <c r="AF251" s="75"/>
      <c r="AG251" s="75"/>
      <c r="AH251" s="75"/>
      <c r="AI251" s="75"/>
      <c r="AJ251" s="75"/>
      <c r="AK251" s="75"/>
      <c r="AL251" s="75"/>
      <c r="AM251" s="75"/>
      <c r="AN251" s="75"/>
      <c r="AO251" s="75"/>
      <c r="AP251" s="75"/>
      <c r="AQ251" s="75"/>
      <c r="AR251" s="75"/>
      <c r="AS251" s="75"/>
      <c r="AT251" s="75"/>
      <c r="AU251" s="75"/>
      <c r="AV251" s="75"/>
      <c r="AW251" s="75"/>
      <c r="AX251" s="75"/>
      <c r="AY251" s="75"/>
      <c r="AZ251" s="75"/>
      <c r="BA251" s="75"/>
      <c r="BB251" s="75"/>
      <c r="BC251" s="75"/>
      <c r="BD251" s="75"/>
      <c r="BE251" s="75"/>
      <c r="BF251" s="75"/>
      <c r="BG251" s="75"/>
      <c r="BH251" s="75"/>
      <c r="BI251" s="75"/>
      <c r="BJ251" s="75"/>
      <c r="BK251" s="75"/>
      <c r="BL251" s="75"/>
      <c r="BM251" s="75"/>
      <c r="BN251" s="75"/>
      <c r="BO251" s="75"/>
      <c r="BP251" s="75"/>
      <c r="BQ251" s="75"/>
      <c r="BR251" s="75"/>
      <c r="BS251" s="75"/>
      <c r="BT251" s="75"/>
      <c r="BU251" s="75"/>
      <c r="BV251" s="75"/>
      <c r="BW251" s="75"/>
      <c r="BX251" s="75"/>
    </row>
    <row r="252">
      <c r="A252" s="76" t="str">
        <f t="shared" si="1"/>
        <v>#REF!</v>
      </c>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c r="AA252" s="75"/>
      <c r="AB252" s="75"/>
      <c r="AC252" s="75"/>
      <c r="AD252" s="75"/>
      <c r="AE252" s="75"/>
      <c r="AF252" s="75"/>
      <c r="AG252" s="75"/>
      <c r="AH252" s="75"/>
      <c r="AI252" s="75"/>
      <c r="AJ252" s="75"/>
      <c r="AK252" s="75"/>
      <c r="AL252" s="75"/>
      <c r="AM252" s="75"/>
      <c r="AN252" s="75"/>
      <c r="AO252" s="75"/>
      <c r="AP252" s="75"/>
      <c r="AQ252" s="75"/>
      <c r="AR252" s="75"/>
      <c r="AS252" s="75"/>
      <c r="AT252" s="75"/>
      <c r="AU252" s="75"/>
      <c r="AV252" s="75"/>
      <c r="AW252" s="75"/>
      <c r="AX252" s="75"/>
      <c r="AY252" s="75"/>
      <c r="AZ252" s="75"/>
      <c r="BA252" s="75"/>
      <c r="BB252" s="75"/>
      <c r="BC252" s="75"/>
      <c r="BD252" s="75"/>
      <c r="BE252" s="75"/>
      <c r="BF252" s="75"/>
      <c r="BG252" s="75"/>
      <c r="BH252" s="75"/>
      <c r="BI252" s="75"/>
      <c r="BJ252" s="75"/>
      <c r="BK252" s="75"/>
      <c r="BL252" s="75"/>
      <c r="BM252" s="75"/>
      <c r="BN252" s="75"/>
      <c r="BO252" s="75"/>
      <c r="BP252" s="75"/>
      <c r="BQ252" s="75"/>
      <c r="BR252" s="75"/>
      <c r="BS252" s="75"/>
      <c r="BT252" s="75"/>
      <c r="BU252" s="75"/>
      <c r="BV252" s="75"/>
      <c r="BW252" s="75"/>
      <c r="BX252" s="75"/>
    </row>
    <row r="253">
      <c r="A253" s="76" t="str">
        <f t="shared" si="1"/>
        <v>#REF!</v>
      </c>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c r="AA253" s="75"/>
      <c r="AB253" s="75"/>
      <c r="AC253" s="75"/>
      <c r="AD253" s="75"/>
      <c r="AE253" s="75"/>
      <c r="AF253" s="75"/>
      <c r="AG253" s="75"/>
      <c r="AH253" s="75"/>
      <c r="AI253" s="75"/>
      <c r="AJ253" s="75"/>
      <c r="AK253" s="75"/>
      <c r="AL253" s="75"/>
      <c r="AM253" s="75"/>
      <c r="AN253" s="75"/>
      <c r="AO253" s="75"/>
      <c r="AP253" s="75"/>
      <c r="AQ253" s="75"/>
      <c r="AR253" s="75"/>
      <c r="AS253" s="75"/>
      <c r="AT253" s="75"/>
      <c r="AU253" s="75"/>
      <c r="AV253" s="75"/>
      <c r="AW253" s="75"/>
      <c r="AX253" s="75"/>
      <c r="AY253" s="75"/>
      <c r="AZ253" s="75"/>
      <c r="BA253" s="75"/>
      <c r="BB253" s="75"/>
      <c r="BC253" s="75"/>
      <c r="BD253" s="75"/>
      <c r="BE253" s="75"/>
      <c r="BF253" s="75"/>
      <c r="BG253" s="75"/>
      <c r="BH253" s="75"/>
      <c r="BI253" s="75"/>
      <c r="BJ253" s="75"/>
      <c r="BK253" s="75"/>
      <c r="BL253" s="75"/>
      <c r="BM253" s="75"/>
      <c r="BN253" s="75"/>
      <c r="BO253" s="75"/>
      <c r="BP253" s="75"/>
      <c r="BQ253" s="75"/>
      <c r="BR253" s="75"/>
      <c r="BS253" s="75"/>
      <c r="BT253" s="75"/>
      <c r="BU253" s="75"/>
      <c r="BV253" s="75"/>
      <c r="BW253" s="75"/>
      <c r="BX253" s="75"/>
    </row>
    <row r="254">
      <c r="A254" s="76" t="str">
        <f t="shared" si="1"/>
        <v>#REF!</v>
      </c>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c r="AA254" s="75"/>
      <c r="AB254" s="75"/>
      <c r="AC254" s="75"/>
      <c r="AD254" s="75"/>
      <c r="AE254" s="75"/>
      <c r="AF254" s="75"/>
      <c r="AG254" s="75"/>
      <c r="AH254" s="75"/>
      <c r="AI254" s="75"/>
      <c r="AJ254" s="75"/>
      <c r="AK254" s="75"/>
      <c r="AL254" s="75"/>
      <c r="AM254" s="75"/>
      <c r="AN254" s="75"/>
      <c r="AO254" s="75"/>
      <c r="AP254" s="75"/>
      <c r="AQ254" s="75"/>
      <c r="AR254" s="75"/>
      <c r="AS254" s="75"/>
      <c r="AT254" s="75"/>
      <c r="AU254" s="75"/>
      <c r="AV254" s="75"/>
      <c r="AW254" s="75"/>
      <c r="AX254" s="75"/>
      <c r="AY254" s="75"/>
      <c r="AZ254" s="75"/>
      <c r="BA254" s="75"/>
      <c r="BB254" s="75"/>
      <c r="BC254" s="75"/>
      <c r="BD254" s="75"/>
      <c r="BE254" s="75"/>
      <c r="BF254" s="75"/>
      <c r="BG254" s="75"/>
      <c r="BH254" s="75"/>
      <c r="BI254" s="75"/>
      <c r="BJ254" s="75"/>
      <c r="BK254" s="75"/>
      <c r="BL254" s="75"/>
      <c r="BM254" s="75"/>
      <c r="BN254" s="75"/>
      <c r="BO254" s="75"/>
      <c r="BP254" s="75"/>
      <c r="BQ254" s="75"/>
      <c r="BR254" s="75"/>
      <c r="BS254" s="75"/>
      <c r="BT254" s="75"/>
      <c r="BU254" s="75"/>
      <c r="BV254" s="75"/>
      <c r="BW254" s="75"/>
      <c r="BX254" s="75"/>
    </row>
    <row r="255">
      <c r="A255" s="76" t="str">
        <f t="shared" si="1"/>
        <v>#REF!</v>
      </c>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c r="AA255" s="75"/>
      <c r="AB255" s="75"/>
      <c r="AC255" s="75"/>
      <c r="AD255" s="75"/>
      <c r="AE255" s="75"/>
      <c r="AF255" s="75"/>
      <c r="AG255" s="75"/>
      <c r="AH255" s="75"/>
      <c r="AI255" s="75"/>
      <c r="AJ255" s="75"/>
      <c r="AK255" s="75"/>
      <c r="AL255" s="75"/>
      <c r="AM255" s="75"/>
      <c r="AN255" s="75"/>
      <c r="AO255" s="75"/>
      <c r="AP255" s="75"/>
      <c r="AQ255" s="75"/>
      <c r="AR255" s="75"/>
      <c r="AS255" s="75"/>
      <c r="AT255" s="75"/>
      <c r="AU255" s="75"/>
      <c r="AV255" s="75"/>
      <c r="AW255" s="75"/>
      <c r="AX255" s="75"/>
      <c r="AY255" s="75"/>
      <c r="AZ255" s="75"/>
      <c r="BA255" s="75"/>
      <c r="BB255" s="75"/>
      <c r="BC255" s="75"/>
      <c r="BD255" s="75"/>
      <c r="BE255" s="75"/>
      <c r="BF255" s="75"/>
      <c r="BG255" s="75"/>
      <c r="BH255" s="75"/>
      <c r="BI255" s="75"/>
      <c r="BJ255" s="75"/>
      <c r="BK255" s="75"/>
      <c r="BL255" s="75"/>
      <c r="BM255" s="75"/>
      <c r="BN255" s="75"/>
      <c r="BO255" s="75"/>
      <c r="BP255" s="75"/>
      <c r="BQ255" s="75"/>
      <c r="BR255" s="75"/>
      <c r="BS255" s="75"/>
      <c r="BT255" s="75"/>
      <c r="BU255" s="75"/>
      <c r="BV255" s="75"/>
      <c r="BW255" s="75"/>
      <c r="BX255" s="75"/>
    </row>
    <row r="256">
      <c r="A256" s="76" t="str">
        <f t="shared" si="1"/>
        <v>#REF!</v>
      </c>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c r="AA256" s="75"/>
      <c r="AB256" s="75"/>
      <c r="AC256" s="75"/>
      <c r="AD256" s="75"/>
      <c r="AE256" s="75"/>
      <c r="AF256" s="75"/>
      <c r="AG256" s="75"/>
      <c r="AH256" s="75"/>
      <c r="AI256" s="75"/>
      <c r="AJ256" s="75"/>
      <c r="AK256" s="75"/>
      <c r="AL256" s="75"/>
      <c r="AM256" s="75"/>
      <c r="AN256" s="75"/>
      <c r="AO256" s="75"/>
      <c r="AP256" s="75"/>
      <c r="AQ256" s="75"/>
      <c r="AR256" s="75"/>
      <c r="AS256" s="75"/>
      <c r="AT256" s="75"/>
      <c r="AU256" s="75"/>
      <c r="AV256" s="75"/>
      <c r="AW256" s="75"/>
      <c r="AX256" s="75"/>
      <c r="AY256" s="75"/>
      <c r="AZ256" s="75"/>
      <c r="BA256" s="75"/>
      <c r="BB256" s="75"/>
      <c r="BC256" s="75"/>
      <c r="BD256" s="75"/>
      <c r="BE256" s="75"/>
      <c r="BF256" s="75"/>
      <c r="BG256" s="75"/>
      <c r="BH256" s="75"/>
      <c r="BI256" s="75"/>
      <c r="BJ256" s="75"/>
      <c r="BK256" s="75"/>
      <c r="BL256" s="75"/>
      <c r="BM256" s="75"/>
      <c r="BN256" s="75"/>
      <c r="BO256" s="75"/>
      <c r="BP256" s="75"/>
      <c r="BQ256" s="75"/>
      <c r="BR256" s="75"/>
      <c r="BS256" s="75"/>
      <c r="BT256" s="75"/>
      <c r="BU256" s="75"/>
      <c r="BV256" s="75"/>
      <c r="BW256" s="75"/>
      <c r="BX256" s="75"/>
    </row>
    <row r="257">
      <c r="A257" s="76" t="str">
        <f t="shared" si="1"/>
        <v>#REF!</v>
      </c>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c r="AA257" s="75"/>
      <c r="AB257" s="75"/>
      <c r="AC257" s="75"/>
      <c r="AD257" s="75"/>
      <c r="AE257" s="75"/>
      <c r="AF257" s="75"/>
      <c r="AG257" s="75"/>
      <c r="AH257" s="75"/>
      <c r="AI257" s="75"/>
      <c r="AJ257" s="75"/>
      <c r="AK257" s="75"/>
      <c r="AL257" s="75"/>
      <c r="AM257" s="75"/>
      <c r="AN257" s="75"/>
      <c r="AO257" s="75"/>
      <c r="AP257" s="75"/>
      <c r="AQ257" s="75"/>
      <c r="AR257" s="75"/>
      <c r="AS257" s="75"/>
      <c r="AT257" s="75"/>
      <c r="AU257" s="75"/>
      <c r="AV257" s="75"/>
      <c r="AW257" s="75"/>
      <c r="AX257" s="75"/>
      <c r="AY257" s="75"/>
      <c r="AZ257" s="75"/>
      <c r="BA257" s="75"/>
      <c r="BB257" s="75"/>
      <c r="BC257" s="75"/>
      <c r="BD257" s="75"/>
      <c r="BE257" s="75"/>
      <c r="BF257" s="75"/>
      <c r="BG257" s="75"/>
      <c r="BH257" s="75"/>
      <c r="BI257" s="75"/>
      <c r="BJ257" s="75"/>
      <c r="BK257" s="75"/>
      <c r="BL257" s="75"/>
      <c r="BM257" s="75"/>
      <c r="BN257" s="75"/>
      <c r="BO257" s="75"/>
      <c r="BP257" s="75"/>
      <c r="BQ257" s="75"/>
      <c r="BR257" s="75"/>
      <c r="BS257" s="75"/>
      <c r="BT257" s="75"/>
      <c r="BU257" s="75"/>
      <c r="BV257" s="75"/>
      <c r="BW257" s="75"/>
      <c r="BX257" s="75"/>
    </row>
    <row r="258">
      <c r="A258" s="76" t="str">
        <f t="shared" si="1"/>
        <v>#REF!</v>
      </c>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c r="AA258" s="75"/>
      <c r="AB258" s="75"/>
      <c r="AC258" s="75"/>
      <c r="AD258" s="75"/>
      <c r="AE258" s="75"/>
      <c r="AF258" s="75"/>
      <c r="AG258" s="75"/>
      <c r="AH258" s="75"/>
      <c r="AI258" s="75"/>
      <c r="AJ258" s="75"/>
      <c r="AK258" s="75"/>
      <c r="AL258" s="75"/>
      <c r="AM258" s="75"/>
      <c r="AN258" s="75"/>
      <c r="AO258" s="75"/>
      <c r="AP258" s="75"/>
      <c r="AQ258" s="75"/>
      <c r="AR258" s="75"/>
      <c r="AS258" s="75"/>
      <c r="AT258" s="75"/>
      <c r="AU258" s="75"/>
      <c r="AV258" s="75"/>
      <c r="AW258" s="75"/>
      <c r="AX258" s="75"/>
      <c r="AY258" s="75"/>
      <c r="AZ258" s="75"/>
      <c r="BA258" s="75"/>
      <c r="BB258" s="75"/>
      <c r="BC258" s="75"/>
      <c r="BD258" s="75"/>
      <c r="BE258" s="75"/>
      <c r="BF258" s="75"/>
      <c r="BG258" s="75"/>
      <c r="BH258" s="75"/>
      <c r="BI258" s="75"/>
      <c r="BJ258" s="75"/>
      <c r="BK258" s="75"/>
      <c r="BL258" s="75"/>
      <c r="BM258" s="75"/>
      <c r="BN258" s="75"/>
      <c r="BO258" s="75"/>
      <c r="BP258" s="75"/>
      <c r="BQ258" s="75"/>
      <c r="BR258" s="75"/>
      <c r="BS258" s="75"/>
      <c r="BT258" s="75"/>
      <c r="BU258" s="75"/>
      <c r="BV258" s="75"/>
      <c r="BW258" s="75"/>
      <c r="BX258" s="75"/>
    </row>
    <row r="259">
      <c r="A259" s="76" t="str">
        <f t="shared" si="1"/>
        <v>#REF!</v>
      </c>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c r="AA259" s="75"/>
      <c r="AB259" s="75"/>
      <c r="AC259" s="75"/>
      <c r="AD259" s="75"/>
      <c r="AE259" s="75"/>
      <c r="AF259" s="75"/>
      <c r="AG259" s="75"/>
      <c r="AH259" s="75"/>
      <c r="AI259" s="75"/>
      <c r="AJ259" s="75"/>
      <c r="AK259" s="75"/>
      <c r="AL259" s="75"/>
      <c r="AM259" s="75"/>
      <c r="AN259" s="75"/>
      <c r="AO259" s="75"/>
      <c r="AP259" s="75"/>
      <c r="AQ259" s="75"/>
      <c r="AR259" s="75"/>
      <c r="AS259" s="75"/>
      <c r="AT259" s="75"/>
      <c r="AU259" s="75"/>
      <c r="AV259" s="75"/>
      <c r="AW259" s="75"/>
      <c r="AX259" s="75"/>
      <c r="AY259" s="75"/>
      <c r="AZ259" s="75"/>
      <c r="BA259" s="75"/>
      <c r="BB259" s="75"/>
      <c r="BC259" s="75"/>
      <c r="BD259" s="75"/>
      <c r="BE259" s="75"/>
      <c r="BF259" s="75"/>
      <c r="BG259" s="75"/>
      <c r="BH259" s="75"/>
      <c r="BI259" s="75"/>
      <c r="BJ259" s="75"/>
      <c r="BK259" s="75"/>
      <c r="BL259" s="75"/>
      <c r="BM259" s="75"/>
      <c r="BN259" s="75"/>
      <c r="BO259" s="75"/>
      <c r="BP259" s="75"/>
      <c r="BQ259" s="75"/>
      <c r="BR259" s="75"/>
      <c r="BS259" s="75"/>
      <c r="BT259" s="75"/>
      <c r="BU259" s="75"/>
      <c r="BV259" s="75"/>
      <c r="BW259" s="75"/>
      <c r="BX259" s="75"/>
    </row>
    <row r="260">
      <c r="A260" s="76" t="str">
        <f t="shared" si="1"/>
        <v>#REF!</v>
      </c>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c r="AA260" s="75"/>
      <c r="AB260" s="75"/>
      <c r="AC260" s="75"/>
      <c r="AD260" s="75"/>
      <c r="AE260" s="75"/>
      <c r="AF260" s="75"/>
      <c r="AG260" s="75"/>
      <c r="AH260" s="75"/>
      <c r="AI260" s="75"/>
      <c r="AJ260" s="75"/>
      <c r="AK260" s="75"/>
      <c r="AL260" s="75"/>
      <c r="AM260" s="75"/>
      <c r="AN260" s="75"/>
      <c r="AO260" s="75"/>
      <c r="AP260" s="75"/>
      <c r="AQ260" s="75"/>
      <c r="AR260" s="75"/>
      <c r="AS260" s="75"/>
      <c r="AT260" s="75"/>
      <c r="AU260" s="75"/>
      <c r="AV260" s="75"/>
      <c r="AW260" s="75"/>
      <c r="AX260" s="75"/>
      <c r="AY260" s="75"/>
      <c r="AZ260" s="75"/>
      <c r="BA260" s="75"/>
      <c r="BB260" s="75"/>
      <c r="BC260" s="75"/>
      <c r="BD260" s="75"/>
      <c r="BE260" s="75"/>
      <c r="BF260" s="75"/>
      <c r="BG260" s="75"/>
      <c r="BH260" s="75"/>
      <c r="BI260" s="75"/>
      <c r="BJ260" s="75"/>
      <c r="BK260" s="75"/>
      <c r="BL260" s="75"/>
      <c r="BM260" s="75"/>
      <c r="BN260" s="75"/>
      <c r="BO260" s="75"/>
      <c r="BP260" s="75"/>
      <c r="BQ260" s="75"/>
      <c r="BR260" s="75"/>
      <c r="BS260" s="75"/>
      <c r="BT260" s="75"/>
      <c r="BU260" s="75"/>
      <c r="BV260" s="75"/>
      <c r="BW260" s="75"/>
      <c r="BX260" s="75"/>
    </row>
    <row r="261">
      <c r="A261" s="76" t="str">
        <f t="shared" si="1"/>
        <v>#REF!</v>
      </c>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c r="AA261" s="75"/>
      <c r="AB261" s="75"/>
      <c r="AC261" s="75"/>
      <c r="AD261" s="75"/>
      <c r="AE261" s="75"/>
      <c r="AF261" s="75"/>
      <c r="AG261" s="75"/>
      <c r="AH261" s="75"/>
      <c r="AI261" s="75"/>
      <c r="AJ261" s="75"/>
      <c r="AK261" s="75"/>
      <c r="AL261" s="75"/>
      <c r="AM261" s="75"/>
      <c r="AN261" s="75"/>
      <c r="AO261" s="75"/>
      <c r="AP261" s="75"/>
      <c r="AQ261" s="75"/>
      <c r="AR261" s="75"/>
      <c r="AS261" s="75"/>
      <c r="AT261" s="75"/>
      <c r="AU261" s="75"/>
      <c r="AV261" s="75"/>
      <c r="AW261" s="75"/>
      <c r="AX261" s="75"/>
      <c r="AY261" s="75"/>
      <c r="AZ261" s="75"/>
      <c r="BA261" s="75"/>
      <c r="BB261" s="75"/>
      <c r="BC261" s="75"/>
      <c r="BD261" s="75"/>
      <c r="BE261" s="75"/>
      <c r="BF261" s="75"/>
      <c r="BG261" s="75"/>
      <c r="BH261" s="75"/>
      <c r="BI261" s="75"/>
      <c r="BJ261" s="75"/>
      <c r="BK261" s="75"/>
      <c r="BL261" s="75"/>
      <c r="BM261" s="75"/>
      <c r="BN261" s="75"/>
      <c r="BO261" s="75"/>
      <c r="BP261" s="75"/>
      <c r="BQ261" s="75"/>
      <c r="BR261" s="75"/>
      <c r="BS261" s="75"/>
      <c r="BT261" s="75"/>
      <c r="BU261" s="75"/>
      <c r="BV261" s="75"/>
      <c r="BW261" s="75"/>
      <c r="BX261" s="75"/>
    </row>
    <row r="262">
      <c r="A262" s="76" t="str">
        <f t="shared" si="1"/>
        <v>#REF!</v>
      </c>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c r="AA262" s="75"/>
      <c r="AB262" s="75"/>
      <c r="AC262" s="75"/>
      <c r="AD262" s="75"/>
      <c r="AE262" s="75"/>
      <c r="AF262" s="75"/>
      <c r="AG262" s="75"/>
      <c r="AH262" s="75"/>
      <c r="AI262" s="75"/>
      <c r="AJ262" s="75"/>
      <c r="AK262" s="75"/>
      <c r="AL262" s="75"/>
      <c r="AM262" s="75"/>
      <c r="AN262" s="75"/>
      <c r="AO262" s="75"/>
      <c r="AP262" s="75"/>
      <c r="AQ262" s="75"/>
      <c r="AR262" s="75"/>
      <c r="AS262" s="75"/>
      <c r="AT262" s="75"/>
      <c r="AU262" s="75"/>
      <c r="AV262" s="75"/>
      <c r="AW262" s="75"/>
      <c r="AX262" s="75"/>
      <c r="AY262" s="75"/>
      <c r="AZ262" s="75"/>
      <c r="BA262" s="75"/>
      <c r="BB262" s="75"/>
      <c r="BC262" s="75"/>
      <c r="BD262" s="75"/>
      <c r="BE262" s="75"/>
      <c r="BF262" s="75"/>
      <c r="BG262" s="75"/>
      <c r="BH262" s="75"/>
      <c r="BI262" s="75"/>
      <c r="BJ262" s="75"/>
      <c r="BK262" s="75"/>
      <c r="BL262" s="75"/>
      <c r="BM262" s="75"/>
      <c r="BN262" s="75"/>
      <c r="BO262" s="75"/>
      <c r="BP262" s="75"/>
      <c r="BQ262" s="75"/>
      <c r="BR262" s="75"/>
      <c r="BS262" s="75"/>
      <c r="BT262" s="75"/>
      <c r="BU262" s="75"/>
      <c r="BV262" s="75"/>
      <c r="BW262" s="75"/>
      <c r="BX262" s="75"/>
    </row>
    <row r="263">
      <c r="A263" s="76" t="str">
        <f t="shared" si="1"/>
        <v>#REF!</v>
      </c>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c r="AA263" s="75"/>
      <c r="AB263" s="75"/>
      <c r="AC263" s="75"/>
      <c r="AD263" s="75"/>
      <c r="AE263" s="75"/>
      <c r="AF263" s="75"/>
      <c r="AG263" s="75"/>
      <c r="AH263" s="75"/>
      <c r="AI263" s="75"/>
      <c r="AJ263" s="75"/>
      <c r="AK263" s="75"/>
      <c r="AL263" s="75"/>
      <c r="AM263" s="75"/>
      <c r="AN263" s="75"/>
      <c r="AO263" s="75"/>
      <c r="AP263" s="75"/>
      <c r="AQ263" s="75"/>
      <c r="AR263" s="75"/>
      <c r="AS263" s="75"/>
      <c r="AT263" s="75"/>
      <c r="AU263" s="75"/>
      <c r="AV263" s="75"/>
      <c r="AW263" s="75"/>
      <c r="AX263" s="75"/>
      <c r="AY263" s="75"/>
      <c r="AZ263" s="75"/>
      <c r="BA263" s="75"/>
      <c r="BB263" s="75"/>
      <c r="BC263" s="75"/>
      <c r="BD263" s="75"/>
      <c r="BE263" s="75"/>
      <c r="BF263" s="75"/>
      <c r="BG263" s="75"/>
      <c r="BH263" s="75"/>
      <c r="BI263" s="75"/>
      <c r="BJ263" s="75"/>
      <c r="BK263" s="75"/>
      <c r="BL263" s="75"/>
      <c r="BM263" s="75"/>
      <c r="BN263" s="75"/>
      <c r="BO263" s="75"/>
      <c r="BP263" s="75"/>
      <c r="BQ263" s="75"/>
      <c r="BR263" s="75"/>
      <c r="BS263" s="75"/>
      <c r="BT263" s="75"/>
      <c r="BU263" s="75"/>
      <c r="BV263" s="75"/>
      <c r="BW263" s="75"/>
      <c r="BX263" s="75"/>
    </row>
    <row r="264">
      <c r="A264" s="76" t="str">
        <f t="shared" si="1"/>
        <v>#REF!</v>
      </c>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c r="AA264" s="75"/>
      <c r="AB264" s="75"/>
      <c r="AC264" s="75"/>
      <c r="AD264" s="75"/>
      <c r="AE264" s="75"/>
      <c r="AF264" s="75"/>
      <c r="AG264" s="75"/>
      <c r="AH264" s="75"/>
      <c r="AI264" s="75"/>
      <c r="AJ264" s="75"/>
      <c r="AK264" s="75"/>
      <c r="AL264" s="75"/>
      <c r="AM264" s="75"/>
      <c r="AN264" s="75"/>
      <c r="AO264" s="75"/>
      <c r="AP264" s="75"/>
      <c r="AQ264" s="75"/>
      <c r="AR264" s="75"/>
      <c r="AS264" s="75"/>
      <c r="AT264" s="75"/>
      <c r="AU264" s="75"/>
      <c r="AV264" s="75"/>
      <c r="AW264" s="75"/>
      <c r="AX264" s="75"/>
      <c r="AY264" s="75"/>
      <c r="AZ264" s="75"/>
      <c r="BA264" s="75"/>
      <c r="BB264" s="75"/>
      <c r="BC264" s="75"/>
      <c r="BD264" s="75"/>
      <c r="BE264" s="75"/>
      <c r="BF264" s="75"/>
      <c r="BG264" s="75"/>
      <c r="BH264" s="75"/>
      <c r="BI264" s="75"/>
      <c r="BJ264" s="75"/>
      <c r="BK264" s="75"/>
      <c r="BL264" s="75"/>
      <c r="BM264" s="75"/>
      <c r="BN264" s="75"/>
      <c r="BO264" s="75"/>
      <c r="BP264" s="75"/>
      <c r="BQ264" s="75"/>
      <c r="BR264" s="75"/>
      <c r="BS264" s="75"/>
      <c r="BT264" s="75"/>
      <c r="BU264" s="75"/>
      <c r="BV264" s="75"/>
      <c r="BW264" s="75"/>
      <c r="BX264" s="75"/>
    </row>
    <row r="265">
      <c r="A265" s="76" t="str">
        <f t="shared" si="1"/>
        <v>#REF!</v>
      </c>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c r="AA265" s="75"/>
      <c r="AB265" s="75"/>
      <c r="AC265" s="75"/>
      <c r="AD265" s="75"/>
      <c r="AE265" s="75"/>
      <c r="AF265" s="75"/>
      <c r="AG265" s="75"/>
      <c r="AH265" s="75"/>
      <c r="AI265" s="75"/>
      <c r="AJ265" s="75"/>
      <c r="AK265" s="75"/>
      <c r="AL265" s="75"/>
      <c r="AM265" s="75"/>
      <c r="AN265" s="75"/>
      <c r="AO265" s="75"/>
      <c r="AP265" s="75"/>
      <c r="AQ265" s="75"/>
      <c r="AR265" s="75"/>
      <c r="AS265" s="75"/>
      <c r="AT265" s="75"/>
      <c r="AU265" s="75"/>
      <c r="AV265" s="75"/>
      <c r="AW265" s="75"/>
      <c r="AX265" s="75"/>
      <c r="AY265" s="75"/>
      <c r="AZ265" s="75"/>
      <c r="BA265" s="75"/>
      <c r="BB265" s="75"/>
      <c r="BC265" s="75"/>
      <c r="BD265" s="75"/>
      <c r="BE265" s="75"/>
      <c r="BF265" s="75"/>
      <c r="BG265" s="75"/>
      <c r="BH265" s="75"/>
      <c r="BI265" s="75"/>
      <c r="BJ265" s="75"/>
      <c r="BK265" s="75"/>
      <c r="BL265" s="75"/>
      <c r="BM265" s="75"/>
      <c r="BN265" s="75"/>
      <c r="BO265" s="75"/>
      <c r="BP265" s="75"/>
      <c r="BQ265" s="75"/>
      <c r="BR265" s="75"/>
      <c r="BS265" s="75"/>
      <c r="BT265" s="75"/>
      <c r="BU265" s="75"/>
      <c r="BV265" s="75"/>
      <c r="BW265" s="75"/>
      <c r="BX265" s="75"/>
    </row>
    <row r="266">
      <c r="A266" s="76" t="str">
        <f t="shared" si="1"/>
        <v>#REF!</v>
      </c>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c r="AA266" s="75"/>
      <c r="AB266" s="75"/>
      <c r="AC266" s="75"/>
      <c r="AD266" s="75"/>
      <c r="AE266" s="75"/>
      <c r="AF266" s="75"/>
      <c r="AG266" s="75"/>
      <c r="AH266" s="75"/>
      <c r="AI266" s="75"/>
      <c r="AJ266" s="75"/>
      <c r="AK266" s="75"/>
      <c r="AL266" s="75"/>
      <c r="AM266" s="75"/>
      <c r="AN266" s="75"/>
      <c r="AO266" s="75"/>
      <c r="AP266" s="75"/>
      <c r="AQ266" s="75"/>
      <c r="AR266" s="75"/>
      <c r="AS266" s="75"/>
      <c r="AT266" s="75"/>
      <c r="AU266" s="75"/>
      <c r="AV266" s="75"/>
      <c r="AW266" s="75"/>
      <c r="AX266" s="75"/>
      <c r="AY266" s="75"/>
      <c r="AZ266" s="75"/>
      <c r="BA266" s="75"/>
      <c r="BB266" s="75"/>
      <c r="BC266" s="75"/>
      <c r="BD266" s="75"/>
      <c r="BE266" s="75"/>
      <c r="BF266" s="75"/>
      <c r="BG266" s="75"/>
      <c r="BH266" s="75"/>
      <c r="BI266" s="75"/>
      <c r="BJ266" s="75"/>
      <c r="BK266" s="75"/>
      <c r="BL266" s="75"/>
      <c r="BM266" s="75"/>
      <c r="BN266" s="75"/>
      <c r="BO266" s="75"/>
      <c r="BP266" s="75"/>
      <c r="BQ266" s="75"/>
      <c r="BR266" s="75"/>
      <c r="BS266" s="75"/>
      <c r="BT266" s="75"/>
      <c r="BU266" s="75"/>
      <c r="BV266" s="75"/>
      <c r="BW266" s="75"/>
      <c r="BX266" s="75"/>
    </row>
    <row r="267">
      <c r="A267" s="76" t="str">
        <f t="shared" si="1"/>
        <v>#REF!</v>
      </c>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c r="AA267" s="75"/>
      <c r="AB267" s="75"/>
      <c r="AC267" s="75"/>
      <c r="AD267" s="75"/>
      <c r="AE267" s="75"/>
      <c r="AF267" s="75"/>
      <c r="AG267" s="75"/>
      <c r="AH267" s="75"/>
      <c r="AI267" s="75"/>
      <c r="AJ267" s="75"/>
      <c r="AK267" s="75"/>
      <c r="AL267" s="75"/>
      <c r="AM267" s="75"/>
      <c r="AN267" s="75"/>
      <c r="AO267" s="75"/>
      <c r="AP267" s="75"/>
      <c r="AQ267" s="75"/>
      <c r="AR267" s="75"/>
      <c r="AS267" s="75"/>
      <c r="AT267" s="75"/>
      <c r="AU267" s="75"/>
      <c r="AV267" s="75"/>
      <c r="AW267" s="75"/>
      <c r="AX267" s="75"/>
      <c r="AY267" s="75"/>
      <c r="AZ267" s="75"/>
      <c r="BA267" s="75"/>
      <c r="BB267" s="75"/>
      <c r="BC267" s="75"/>
      <c r="BD267" s="75"/>
      <c r="BE267" s="75"/>
      <c r="BF267" s="75"/>
      <c r="BG267" s="75"/>
      <c r="BH267" s="75"/>
      <c r="BI267" s="75"/>
      <c r="BJ267" s="75"/>
      <c r="BK267" s="75"/>
      <c r="BL267" s="75"/>
      <c r="BM267" s="75"/>
      <c r="BN267" s="75"/>
      <c r="BO267" s="75"/>
      <c r="BP267" s="75"/>
      <c r="BQ267" s="75"/>
      <c r="BR267" s="75"/>
      <c r="BS267" s="75"/>
      <c r="BT267" s="75"/>
      <c r="BU267" s="75"/>
      <c r="BV267" s="75"/>
      <c r="BW267" s="75"/>
      <c r="BX267" s="75"/>
    </row>
    <row r="268">
      <c r="A268" s="76" t="str">
        <f t="shared" si="1"/>
        <v>#REF!</v>
      </c>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c r="AA268" s="75"/>
      <c r="AB268" s="75"/>
      <c r="AC268" s="75"/>
      <c r="AD268" s="75"/>
      <c r="AE268" s="75"/>
      <c r="AF268" s="75"/>
      <c r="AG268" s="75"/>
      <c r="AH268" s="75"/>
      <c r="AI268" s="75"/>
      <c r="AJ268" s="75"/>
      <c r="AK268" s="75"/>
      <c r="AL268" s="75"/>
      <c r="AM268" s="75"/>
      <c r="AN268" s="75"/>
      <c r="AO268" s="75"/>
      <c r="AP268" s="75"/>
      <c r="AQ268" s="75"/>
      <c r="AR268" s="75"/>
      <c r="AS268" s="75"/>
      <c r="AT268" s="75"/>
      <c r="AU268" s="75"/>
      <c r="AV268" s="75"/>
      <c r="AW268" s="75"/>
      <c r="AX268" s="75"/>
      <c r="AY268" s="75"/>
      <c r="AZ268" s="75"/>
      <c r="BA268" s="75"/>
      <c r="BB268" s="75"/>
      <c r="BC268" s="75"/>
      <c r="BD268" s="75"/>
      <c r="BE268" s="75"/>
      <c r="BF268" s="75"/>
      <c r="BG268" s="75"/>
      <c r="BH268" s="75"/>
      <c r="BI268" s="75"/>
      <c r="BJ268" s="75"/>
      <c r="BK268" s="75"/>
      <c r="BL268" s="75"/>
      <c r="BM268" s="75"/>
      <c r="BN268" s="75"/>
      <c r="BO268" s="75"/>
      <c r="BP268" s="75"/>
      <c r="BQ268" s="75"/>
      <c r="BR268" s="75"/>
      <c r="BS268" s="75"/>
      <c r="BT268" s="75"/>
      <c r="BU268" s="75"/>
      <c r="BV268" s="75"/>
      <c r="BW268" s="75"/>
      <c r="BX268" s="75"/>
    </row>
    <row r="269">
      <c r="A269" s="76" t="str">
        <f t="shared" si="1"/>
        <v>#REF!</v>
      </c>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c r="AA269" s="75"/>
      <c r="AB269" s="75"/>
      <c r="AC269" s="75"/>
      <c r="AD269" s="75"/>
      <c r="AE269" s="75"/>
      <c r="AF269" s="75"/>
      <c r="AG269" s="75"/>
      <c r="AH269" s="75"/>
      <c r="AI269" s="75"/>
      <c r="AJ269" s="75"/>
      <c r="AK269" s="75"/>
      <c r="AL269" s="75"/>
      <c r="AM269" s="75"/>
      <c r="AN269" s="75"/>
      <c r="AO269" s="75"/>
      <c r="AP269" s="75"/>
      <c r="AQ269" s="75"/>
      <c r="AR269" s="75"/>
      <c r="AS269" s="75"/>
      <c r="AT269" s="75"/>
      <c r="AU269" s="75"/>
      <c r="AV269" s="75"/>
      <c r="AW269" s="75"/>
      <c r="AX269" s="75"/>
      <c r="AY269" s="75"/>
      <c r="AZ269" s="75"/>
      <c r="BA269" s="75"/>
      <c r="BB269" s="75"/>
      <c r="BC269" s="75"/>
      <c r="BD269" s="75"/>
      <c r="BE269" s="75"/>
      <c r="BF269" s="75"/>
      <c r="BG269" s="75"/>
      <c r="BH269" s="75"/>
      <c r="BI269" s="75"/>
      <c r="BJ269" s="75"/>
      <c r="BK269" s="75"/>
      <c r="BL269" s="75"/>
      <c r="BM269" s="75"/>
      <c r="BN269" s="75"/>
      <c r="BO269" s="75"/>
      <c r="BP269" s="75"/>
      <c r="BQ269" s="75"/>
      <c r="BR269" s="75"/>
      <c r="BS269" s="75"/>
      <c r="BT269" s="75"/>
      <c r="BU269" s="75"/>
      <c r="BV269" s="75"/>
      <c r="BW269" s="75"/>
      <c r="BX269" s="75"/>
    </row>
    <row r="270">
      <c r="A270" s="76" t="str">
        <f t="shared" si="1"/>
        <v>#REF!</v>
      </c>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c r="AA270" s="75"/>
      <c r="AB270" s="75"/>
      <c r="AC270" s="75"/>
      <c r="AD270" s="75"/>
      <c r="AE270" s="75"/>
      <c r="AF270" s="75"/>
      <c r="AG270" s="75"/>
      <c r="AH270" s="75"/>
      <c r="AI270" s="75"/>
      <c r="AJ270" s="75"/>
      <c r="AK270" s="75"/>
      <c r="AL270" s="75"/>
      <c r="AM270" s="75"/>
      <c r="AN270" s="75"/>
      <c r="AO270" s="75"/>
      <c r="AP270" s="75"/>
      <c r="AQ270" s="75"/>
      <c r="AR270" s="75"/>
      <c r="AS270" s="75"/>
      <c r="AT270" s="75"/>
      <c r="AU270" s="75"/>
      <c r="AV270" s="75"/>
      <c r="AW270" s="75"/>
      <c r="AX270" s="75"/>
      <c r="AY270" s="75"/>
      <c r="AZ270" s="75"/>
      <c r="BA270" s="75"/>
      <c r="BB270" s="75"/>
      <c r="BC270" s="75"/>
      <c r="BD270" s="75"/>
      <c r="BE270" s="75"/>
      <c r="BF270" s="75"/>
      <c r="BG270" s="75"/>
      <c r="BH270" s="75"/>
      <c r="BI270" s="75"/>
      <c r="BJ270" s="75"/>
      <c r="BK270" s="75"/>
      <c r="BL270" s="75"/>
      <c r="BM270" s="75"/>
      <c r="BN270" s="75"/>
      <c r="BO270" s="75"/>
      <c r="BP270" s="75"/>
      <c r="BQ270" s="75"/>
      <c r="BR270" s="75"/>
      <c r="BS270" s="75"/>
      <c r="BT270" s="75"/>
      <c r="BU270" s="75"/>
      <c r="BV270" s="75"/>
      <c r="BW270" s="75"/>
      <c r="BX270" s="75"/>
    </row>
    <row r="271">
      <c r="A271" s="76" t="str">
        <f t="shared" si="1"/>
        <v>#REF!</v>
      </c>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c r="AA271" s="75"/>
      <c r="AB271" s="75"/>
      <c r="AC271" s="75"/>
      <c r="AD271" s="75"/>
      <c r="AE271" s="75"/>
      <c r="AF271" s="75"/>
      <c r="AG271" s="75"/>
      <c r="AH271" s="75"/>
      <c r="AI271" s="75"/>
      <c r="AJ271" s="75"/>
      <c r="AK271" s="75"/>
      <c r="AL271" s="75"/>
      <c r="AM271" s="75"/>
      <c r="AN271" s="75"/>
      <c r="AO271" s="75"/>
      <c r="AP271" s="75"/>
      <c r="AQ271" s="75"/>
      <c r="AR271" s="75"/>
      <c r="AS271" s="75"/>
      <c r="AT271" s="75"/>
      <c r="AU271" s="75"/>
      <c r="AV271" s="75"/>
      <c r="AW271" s="75"/>
      <c r="AX271" s="75"/>
      <c r="AY271" s="75"/>
      <c r="AZ271" s="75"/>
      <c r="BA271" s="75"/>
      <c r="BB271" s="75"/>
      <c r="BC271" s="75"/>
      <c r="BD271" s="75"/>
      <c r="BE271" s="75"/>
      <c r="BF271" s="75"/>
      <c r="BG271" s="75"/>
      <c r="BH271" s="75"/>
      <c r="BI271" s="75"/>
      <c r="BJ271" s="75"/>
      <c r="BK271" s="75"/>
      <c r="BL271" s="75"/>
      <c r="BM271" s="75"/>
      <c r="BN271" s="75"/>
      <c r="BO271" s="75"/>
      <c r="BP271" s="75"/>
      <c r="BQ271" s="75"/>
      <c r="BR271" s="75"/>
      <c r="BS271" s="75"/>
      <c r="BT271" s="75"/>
      <c r="BU271" s="75"/>
      <c r="BV271" s="75"/>
      <c r="BW271" s="75"/>
      <c r="BX271" s="75"/>
    </row>
    <row r="272">
      <c r="A272" s="76" t="str">
        <f t="shared" si="1"/>
        <v>#REF!</v>
      </c>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c r="AA272" s="75"/>
      <c r="AB272" s="75"/>
      <c r="AC272" s="75"/>
      <c r="AD272" s="75"/>
      <c r="AE272" s="75"/>
      <c r="AF272" s="75"/>
      <c r="AG272" s="75"/>
      <c r="AH272" s="75"/>
      <c r="AI272" s="75"/>
      <c r="AJ272" s="75"/>
      <c r="AK272" s="75"/>
      <c r="AL272" s="75"/>
      <c r="AM272" s="75"/>
      <c r="AN272" s="75"/>
      <c r="AO272" s="75"/>
      <c r="AP272" s="75"/>
      <c r="AQ272" s="75"/>
      <c r="AR272" s="75"/>
      <c r="AS272" s="75"/>
      <c r="AT272" s="75"/>
      <c r="AU272" s="75"/>
      <c r="AV272" s="75"/>
      <c r="AW272" s="75"/>
      <c r="AX272" s="75"/>
      <c r="AY272" s="75"/>
      <c r="AZ272" s="75"/>
      <c r="BA272" s="75"/>
      <c r="BB272" s="75"/>
      <c r="BC272" s="75"/>
      <c r="BD272" s="75"/>
      <c r="BE272" s="75"/>
      <c r="BF272" s="75"/>
      <c r="BG272" s="75"/>
      <c r="BH272" s="75"/>
      <c r="BI272" s="75"/>
      <c r="BJ272" s="75"/>
      <c r="BK272" s="75"/>
      <c r="BL272" s="75"/>
      <c r="BM272" s="75"/>
      <c r="BN272" s="75"/>
      <c r="BO272" s="75"/>
      <c r="BP272" s="75"/>
      <c r="BQ272" s="75"/>
      <c r="BR272" s="75"/>
      <c r="BS272" s="75"/>
      <c r="BT272" s="75"/>
      <c r="BU272" s="75"/>
      <c r="BV272" s="75"/>
      <c r="BW272" s="75"/>
      <c r="BX272" s="75"/>
    </row>
    <row r="273">
      <c r="A273" s="76" t="str">
        <f t="shared" ref="A273:A277" si="74">CONCATENATE('Term Reference Guide (in-progress)'!B3," [",'Term Reference Guide (in-progress)'!C3,"]")</f>
        <v>#REF!</v>
      </c>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c r="AA273" s="75"/>
      <c r="AB273" s="75"/>
      <c r="AC273" s="75"/>
      <c r="AD273" s="75"/>
      <c r="AE273" s="75"/>
      <c r="AF273" s="75"/>
      <c r="AG273" s="75"/>
      <c r="AH273" s="75"/>
      <c r="AI273" s="75"/>
      <c r="AJ273" s="75"/>
      <c r="AK273" s="75"/>
      <c r="AL273" s="75"/>
      <c r="AM273" s="75"/>
      <c r="AN273" s="75"/>
      <c r="AO273" s="75"/>
      <c r="AP273" s="75"/>
      <c r="AQ273" s="75"/>
      <c r="AR273" s="75"/>
      <c r="AS273" s="75"/>
      <c r="AT273" s="75"/>
      <c r="AU273" s="75"/>
      <c r="AV273" s="75"/>
      <c r="AW273" s="75"/>
      <c r="AX273" s="75"/>
      <c r="AY273" s="75"/>
      <c r="AZ273" s="75"/>
      <c r="BA273" s="75"/>
      <c r="BB273" s="75"/>
      <c r="BC273" s="75"/>
      <c r="BD273" s="75"/>
      <c r="BE273" s="75"/>
      <c r="BF273" s="75"/>
      <c r="BG273" s="75"/>
      <c r="BH273" s="75"/>
      <c r="BI273" s="75"/>
      <c r="BJ273" s="75"/>
      <c r="BK273" s="75"/>
      <c r="BL273" s="75"/>
      <c r="BM273" s="75"/>
      <c r="BN273" s="75"/>
      <c r="BO273" s="75"/>
      <c r="BP273" s="75"/>
      <c r="BQ273" s="75"/>
      <c r="BR273" s="75"/>
      <c r="BS273" s="75"/>
      <c r="BT273" s="75"/>
      <c r="BU273" s="75"/>
      <c r="BV273" s="75"/>
      <c r="BW273" s="75"/>
      <c r="BX273" s="75"/>
    </row>
    <row r="274">
      <c r="A274" s="76" t="str">
        <f t="shared" si="74"/>
        <v>#REF!</v>
      </c>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c r="AA274" s="75"/>
      <c r="AB274" s="75"/>
      <c r="AC274" s="75"/>
      <c r="AD274" s="75"/>
      <c r="AE274" s="75"/>
      <c r="AF274" s="75"/>
      <c r="AG274" s="75"/>
      <c r="AH274" s="75"/>
      <c r="AI274" s="75"/>
      <c r="AJ274" s="75"/>
      <c r="AK274" s="75"/>
      <c r="AL274" s="75"/>
      <c r="AM274" s="75"/>
      <c r="AN274" s="75"/>
      <c r="AO274" s="75"/>
      <c r="AP274" s="75"/>
      <c r="AQ274" s="75"/>
      <c r="AR274" s="75"/>
      <c r="AS274" s="75"/>
      <c r="AT274" s="75"/>
      <c r="AU274" s="75"/>
      <c r="AV274" s="75"/>
      <c r="AW274" s="75"/>
      <c r="AX274" s="75"/>
      <c r="AY274" s="75"/>
      <c r="AZ274" s="75"/>
      <c r="BA274" s="75"/>
      <c r="BB274" s="75"/>
      <c r="BC274" s="75"/>
      <c r="BD274" s="75"/>
      <c r="BE274" s="75"/>
      <c r="BF274" s="75"/>
      <c r="BG274" s="75"/>
      <c r="BH274" s="75"/>
      <c r="BI274" s="75"/>
      <c r="BJ274" s="75"/>
      <c r="BK274" s="75"/>
      <c r="BL274" s="75"/>
      <c r="BM274" s="75"/>
      <c r="BN274" s="75"/>
      <c r="BO274" s="75"/>
      <c r="BP274" s="75"/>
      <c r="BQ274" s="75"/>
      <c r="BR274" s="75"/>
      <c r="BS274" s="75"/>
      <c r="BT274" s="75"/>
      <c r="BU274" s="75"/>
      <c r="BV274" s="75"/>
      <c r="BW274" s="75"/>
      <c r="BX274" s="75"/>
    </row>
    <row r="275">
      <c r="A275" s="76" t="str">
        <f t="shared" si="74"/>
        <v>#REF!</v>
      </c>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c r="AL275" s="75"/>
      <c r="AM275" s="75"/>
      <c r="AN275" s="75"/>
      <c r="AO275" s="75"/>
      <c r="AP275" s="75"/>
      <c r="AQ275" s="75"/>
      <c r="AR275" s="75"/>
      <c r="AS275" s="75"/>
      <c r="AT275" s="75"/>
      <c r="AU275" s="75"/>
      <c r="AV275" s="75"/>
      <c r="AW275" s="75"/>
      <c r="AX275" s="75"/>
      <c r="AY275" s="75"/>
      <c r="AZ275" s="75"/>
      <c r="BA275" s="75"/>
      <c r="BB275" s="75"/>
      <c r="BC275" s="75"/>
      <c r="BD275" s="75"/>
      <c r="BE275" s="75"/>
      <c r="BF275" s="75"/>
      <c r="BG275" s="75"/>
      <c r="BH275" s="75"/>
      <c r="BI275" s="75"/>
      <c r="BJ275" s="75"/>
      <c r="BK275" s="75"/>
      <c r="BL275" s="75"/>
      <c r="BM275" s="75"/>
      <c r="BN275" s="75"/>
      <c r="BO275" s="75"/>
      <c r="BP275" s="75"/>
      <c r="BQ275" s="75"/>
      <c r="BR275" s="75"/>
      <c r="BS275" s="75"/>
      <c r="BT275" s="75"/>
      <c r="BU275" s="75"/>
      <c r="BV275" s="75"/>
      <c r="BW275" s="75"/>
      <c r="BX275" s="75"/>
    </row>
    <row r="276">
      <c r="A276" s="76" t="str">
        <f t="shared" si="74"/>
        <v>#REF!</v>
      </c>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c r="AA276" s="75"/>
      <c r="AB276" s="75"/>
      <c r="AC276" s="75"/>
      <c r="AD276" s="75"/>
      <c r="AE276" s="75"/>
      <c r="AF276" s="75"/>
      <c r="AG276" s="75"/>
      <c r="AH276" s="75"/>
      <c r="AI276" s="75"/>
      <c r="AJ276" s="75"/>
      <c r="AK276" s="75"/>
      <c r="AL276" s="75"/>
      <c r="AM276" s="75"/>
      <c r="AN276" s="75"/>
      <c r="AO276" s="75"/>
      <c r="AP276" s="75"/>
      <c r="AQ276" s="75"/>
      <c r="AR276" s="75"/>
      <c r="AS276" s="75"/>
      <c r="AT276" s="75"/>
      <c r="AU276" s="75"/>
      <c r="AV276" s="75"/>
      <c r="AW276" s="75"/>
      <c r="AX276" s="75"/>
      <c r="AY276" s="75"/>
      <c r="AZ276" s="75"/>
      <c r="BA276" s="75"/>
      <c r="BB276" s="75"/>
      <c r="BC276" s="75"/>
      <c r="BD276" s="75"/>
      <c r="BE276" s="75"/>
      <c r="BF276" s="75"/>
      <c r="BG276" s="75"/>
      <c r="BH276" s="75"/>
      <c r="BI276" s="75"/>
      <c r="BJ276" s="75"/>
      <c r="BK276" s="75"/>
      <c r="BL276" s="75"/>
      <c r="BM276" s="75"/>
      <c r="BN276" s="75"/>
      <c r="BO276" s="75"/>
      <c r="BP276" s="75"/>
      <c r="BQ276" s="75"/>
      <c r="BR276" s="75"/>
      <c r="BS276" s="75"/>
      <c r="BT276" s="75"/>
      <c r="BU276" s="75"/>
      <c r="BV276" s="75"/>
      <c r="BW276" s="75"/>
      <c r="BX276" s="75"/>
    </row>
    <row r="277">
      <c r="A277" s="76" t="str">
        <f t="shared" si="74"/>
        <v>#REF!</v>
      </c>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c r="AA277" s="75"/>
      <c r="AB277" s="75"/>
      <c r="AC277" s="75"/>
      <c r="AD277" s="75"/>
      <c r="AE277" s="75"/>
      <c r="AF277" s="75"/>
      <c r="AG277" s="75"/>
      <c r="AH277" s="75"/>
      <c r="AI277" s="75"/>
      <c r="AJ277" s="75"/>
      <c r="AK277" s="75"/>
      <c r="AL277" s="75"/>
      <c r="AM277" s="75"/>
      <c r="AN277" s="75"/>
      <c r="AO277" s="75"/>
      <c r="AP277" s="75"/>
      <c r="AQ277" s="75"/>
      <c r="AR277" s="75"/>
      <c r="AS277" s="75"/>
      <c r="AT277" s="75"/>
      <c r="AU277" s="75"/>
      <c r="AV277" s="75"/>
      <c r="AW277" s="75"/>
      <c r="AX277" s="75"/>
      <c r="AY277" s="75"/>
      <c r="AZ277" s="75"/>
      <c r="BA277" s="75"/>
      <c r="BB277" s="75"/>
      <c r="BC277" s="75"/>
      <c r="BD277" s="75"/>
      <c r="BE277" s="75"/>
      <c r="BF277" s="75"/>
      <c r="BG277" s="75"/>
      <c r="BH277" s="75"/>
      <c r="BI277" s="75"/>
      <c r="BJ277" s="75"/>
      <c r="BK277" s="75"/>
      <c r="BL277" s="75"/>
      <c r="BM277" s="75"/>
      <c r="BN277" s="75"/>
      <c r="BO277" s="75"/>
      <c r="BP277" s="75"/>
      <c r="BQ277" s="75"/>
      <c r="BR277" s="75"/>
      <c r="BS277" s="75"/>
      <c r="BT277" s="75"/>
      <c r="BU277" s="75"/>
      <c r="BV277" s="75"/>
      <c r="BW277" s="75"/>
      <c r="BX277" s="75"/>
    </row>
    <row r="278">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c r="AA278" s="75"/>
      <c r="AB278" s="75"/>
      <c r="AC278" s="75"/>
      <c r="AD278" s="75"/>
      <c r="AE278" s="75"/>
      <c r="AF278" s="75"/>
      <c r="AG278" s="75"/>
      <c r="AH278" s="75"/>
      <c r="AI278" s="75"/>
      <c r="AJ278" s="75"/>
      <c r="AK278" s="75"/>
      <c r="AL278" s="75"/>
      <c r="AM278" s="75"/>
      <c r="AN278" s="75"/>
      <c r="AO278" s="75"/>
      <c r="AP278" s="75"/>
      <c r="AQ278" s="75"/>
      <c r="AR278" s="75"/>
      <c r="AS278" s="75"/>
      <c r="AT278" s="75"/>
      <c r="AU278" s="75"/>
      <c r="AV278" s="75"/>
      <c r="AW278" s="75"/>
      <c r="AX278" s="75"/>
      <c r="AY278" s="75"/>
      <c r="AZ278" s="75"/>
      <c r="BA278" s="75"/>
      <c r="BB278" s="75"/>
      <c r="BC278" s="75"/>
      <c r="BD278" s="75"/>
      <c r="BE278" s="75"/>
      <c r="BF278" s="75"/>
      <c r="BG278" s="75"/>
      <c r="BH278" s="75"/>
      <c r="BI278" s="75"/>
      <c r="BJ278" s="75"/>
      <c r="BK278" s="75"/>
      <c r="BL278" s="75"/>
      <c r="BM278" s="75"/>
      <c r="BN278" s="75"/>
      <c r="BO278" s="75"/>
      <c r="BP278" s="75"/>
      <c r="BQ278" s="75"/>
      <c r="BR278" s="75"/>
      <c r="BS278" s="75"/>
      <c r="BT278" s="75"/>
      <c r="BU278" s="75"/>
      <c r="BV278" s="75"/>
      <c r="BW278" s="75"/>
      <c r="BX278" s="75"/>
    </row>
    <row r="279">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c r="AA279" s="75"/>
      <c r="AB279" s="75"/>
      <c r="AC279" s="75"/>
      <c r="AD279" s="75"/>
      <c r="AE279" s="75"/>
      <c r="AF279" s="75"/>
      <c r="AG279" s="75"/>
      <c r="AH279" s="75"/>
      <c r="AI279" s="75"/>
      <c r="AJ279" s="75"/>
      <c r="AK279" s="75"/>
      <c r="AL279" s="75"/>
      <c r="AM279" s="75"/>
      <c r="AN279" s="75"/>
      <c r="AO279" s="75"/>
      <c r="AP279" s="75"/>
      <c r="AQ279" s="75"/>
      <c r="AR279" s="75"/>
      <c r="AS279" s="75"/>
      <c r="AT279" s="75"/>
      <c r="AU279" s="75"/>
      <c r="AV279" s="75"/>
      <c r="AW279" s="75"/>
      <c r="AX279" s="75"/>
      <c r="AY279" s="75"/>
      <c r="AZ279" s="75"/>
      <c r="BA279" s="75"/>
      <c r="BB279" s="75"/>
      <c r="BC279" s="75"/>
      <c r="BD279" s="75"/>
      <c r="BE279" s="75"/>
      <c r="BF279" s="75"/>
      <c r="BG279" s="75"/>
      <c r="BH279" s="75"/>
      <c r="BI279" s="75"/>
      <c r="BJ279" s="75"/>
      <c r="BK279" s="75"/>
      <c r="BL279" s="75"/>
      <c r="BM279" s="75"/>
      <c r="BN279" s="75"/>
      <c r="BO279" s="75"/>
      <c r="BP279" s="75"/>
      <c r="BQ279" s="75"/>
      <c r="BR279" s="75"/>
      <c r="BS279" s="75"/>
      <c r="BT279" s="75"/>
      <c r="BU279" s="75"/>
      <c r="BV279" s="75"/>
      <c r="BW279" s="75"/>
      <c r="BX279" s="75"/>
    </row>
    <row r="280">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c r="AA280" s="75"/>
      <c r="AB280" s="75"/>
      <c r="AC280" s="75"/>
      <c r="AD280" s="75"/>
      <c r="AE280" s="75"/>
      <c r="AF280" s="75"/>
      <c r="AG280" s="75"/>
      <c r="AH280" s="75"/>
      <c r="AI280" s="75"/>
      <c r="AJ280" s="75"/>
      <c r="AK280" s="75"/>
      <c r="AL280" s="75"/>
      <c r="AM280" s="75"/>
      <c r="AN280" s="75"/>
      <c r="AO280" s="75"/>
      <c r="AP280" s="75"/>
      <c r="AQ280" s="75"/>
      <c r="AR280" s="75"/>
      <c r="AS280" s="75"/>
      <c r="AT280" s="75"/>
      <c r="AU280" s="75"/>
      <c r="AV280" s="75"/>
      <c r="AW280" s="75"/>
      <c r="AX280" s="75"/>
      <c r="AY280" s="75"/>
      <c r="AZ280" s="75"/>
      <c r="BA280" s="75"/>
      <c r="BB280" s="75"/>
      <c r="BC280" s="75"/>
      <c r="BD280" s="75"/>
      <c r="BE280" s="75"/>
      <c r="BF280" s="75"/>
      <c r="BG280" s="75"/>
      <c r="BH280" s="75"/>
      <c r="BI280" s="75"/>
      <c r="BJ280" s="75"/>
      <c r="BK280" s="75"/>
      <c r="BL280" s="75"/>
      <c r="BM280" s="75"/>
      <c r="BN280" s="75"/>
      <c r="BO280" s="75"/>
      <c r="BP280" s="75"/>
      <c r="BQ280" s="75"/>
      <c r="BR280" s="75"/>
      <c r="BS280" s="75"/>
      <c r="BT280" s="75"/>
      <c r="BU280" s="75"/>
      <c r="BV280" s="75"/>
      <c r="BW280" s="75"/>
      <c r="BX280" s="75"/>
    </row>
    <row r="281">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c r="AA281" s="75"/>
      <c r="AB281" s="75"/>
      <c r="AC281" s="75"/>
      <c r="AD281" s="75"/>
      <c r="AE281" s="75"/>
      <c r="AF281" s="75"/>
      <c r="AG281" s="75"/>
      <c r="AH281" s="75"/>
      <c r="AI281" s="75"/>
      <c r="AJ281" s="75"/>
      <c r="AK281" s="75"/>
      <c r="AL281" s="75"/>
      <c r="AM281" s="75"/>
      <c r="AN281" s="75"/>
      <c r="AO281" s="75"/>
      <c r="AP281" s="75"/>
      <c r="AQ281" s="75"/>
      <c r="AR281" s="75"/>
      <c r="AS281" s="75"/>
      <c r="AT281" s="75"/>
      <c r="AU281" s="75"/>
      <c r="AV281" s="75"/>
      <c r="AW281" s="75"/>
      <c r="AX281" s="75"/>
      <c r="AY281" s="75"/>
      <c r="AZ281" s="75"/>
      <c r="BA281" s="75"/>
      <c r="BB281" s="75"/>
      <c r="BC281" s="75"/>
      <c r="BD281" s="75"/>
      <c r="BE281" s="75"/>
      <c r="BF281" s="75"/>
      <c r="BG281" s="75"/>
      <c r="BH281" s="75"/>
      <c r="BI281" s="75"/>
      <c r="BJ281" s="75"/>
      <c r="BK281" s="75"/>
      <c r="BL281" s="75"/>
      <c r="BM281" s="75"/>
      <c r="BN281" s="75"/>
      <c r="BO281" s="75"/>
      <c r="BP281" s="75"/>
      <c r="BQ281" s="75"/>
      <c r="BR281" s="75"/>
      <c r="BS281" s="75"/>
      <c r="BT281" s="75"/>
      <c r="BU281" s="75"/>
      <c r="BV281" s="75"/>
      <c r="BW281" s="75"/>
      <c r="BX281" s="75"/>
    </row>
    <row r="282">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c r="AA282" s="75"/>
      <c r="AB282" s="75"/>
      <c r="AC282" s="75"/>
      <c r="AD282" s="75"/>
      <c r="AE282" s="75"/>
      <c r="AF282" s="75"/>
      <c r="AG282" s="75"/>
      <c r="AH282" s="75"/>
      <c r="AI282" s="75"/>
      <c r="AJ282" s="75"/>
      <c r="AK282" s="75"/>
      <c r="AL282" s="75"/>
      <c r="AM282" s="75"/>
      <c r="AN282" s="75"/>
      <c r="AO282" s="75"/>
      <c r="AP282" s="75"/>
      <c r="AQ282" s="75"/>
      <c r="AR282" s="75"/>
      <c r="AS282" s="75"/>
      <c r="AT282" s="75"/>
      <c r="AU282" s="75"/>
      <c r="AV282" s="75"/>
      <c r="AW282" s="75"/>
      <c r="AX282" s="75"/>
      <c r="AY282" s="75"/>
      <c r="AZ282" s="75"/>
      <c r="BA282" s="75"/>
      <c r="BB282" s="75"/>
      <c r="BC282" s="75"/>
      <c r="BD282" s="75"/>
      <c r="BE282" s="75"/>
      <c r="BF282" s="75"/>
      <c r="BG282" s="75"/>
      <c r="BH282" s="75"/>
      <c r="BI282" s="75"/>
      <c r="BJ282" s="75"/>
      <c r="BK282" s="75"/>
      <c r="BL282" s="75"/>
      <c r="BM282" s="75"/>
      <c r="BN282" s="75"/>
      <c r="BO282" s="75"/>
      <c r="BP282" s="75"/>
      <c r="BQ282" s="75"/>
      <c r="BR282" s="75"/>
      <c r="BS282" s="75"/>
      <c r="BT282" s="75"/>
      <c r="BU282" s="75"/>
      <c r="BV282" s="75"/>
      <c r="BW282" s="75"/>
      <c r="BX282" s="75"/>
    </row>
    <row r="283">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c r="AA283" s="75"/>
      <c r="AB283" s="75"/>
      <c r="AC283" s="75"/>
      <c r="AD283" s="75"/>
      <c r="AE283" s="75"/>
      <c r="AF283" s="75"/>
      <c r="AG283" s="75"/>
      <c r="AH283" s="75"/>
      <c r="AI283" s="75"/>
      <c r="AJ283" s="75"/>
      <c r="AK283" s="75"/>
      <c r="AL283" s="75"/>
      <c r="AM283" s="75"/>
      <c r="AN283" s="75"/>
      <c r="AO283" s="75"/>
      <c r="AP283" s="75"/>
      <c r="AQ283" s="75"/>
      <c r="AR283" s="75"/>
      <c r="AS283" s="75"/>
      <c r="AT283" s="75"/>
      <c r="AU283" s="75"/>
      <c r="AV283" s="75"/>
      <c r="AW283" s="75"/>
      <c r="AX283" s="75"/>
      <c r="AY283" s="75"/>
      <c r="AZ283" s="75"/>
      <c r="BA283" s="75"/>
      <c r="BB283" s="75"/>
      <c r="BC283" s="75"/>
      <c r="BD283" s="75"/>
      <c r="BE283" s="75"/>
      <c r="BF283" s="75"/>
      <c r="BG283" s="75"/>
      <c r="BH283" s="75"/>
      <c r="BI283" s="75"/>
      <c r="BJ283" s="75"/>
      <c r="BK283" s="75"/>
      <c r="BL283" s="75"/>
      <c r="BM283" s="75"/>
      <c r="BN283" s="75"/>
      <c r="BO283" s="75"/>
      <c r="BP283" s="75"/>
      <c r="BQ283" s="75"/>
      <c r="BR283" s="75"/>
      <c r="BS283" s="75"/>
      <c r="BT283" s="75"/>
      <c r="BU283" s="75"/>
      <c r="BV283" s="75"/>
      <c r="BW283" s="75"/>
      <c r="BX283" s="75"/>
    </row>
    <row r="28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c r="AA284" s="75"/>
      <c r="AB284" s="75"/>
      <c r="AC284" s="75"/>
      <c r="AD284" s="75"/>
      <c r="AE284" s="75"/>
      <c r="AF284" s="75"/>
      <c r="AG284" s="75"/>
      <c r="AH284" s="75"/>
      <c r="AI284" s="75"/>
      <c r="AJ284" s="75"/>
      <c r="AK284" s="75"/>
      <c r="AL284" s="75"/>
      <c r="AM284" s="75"/>
      <c r="AN284" s="75"/>
      <c r="AO284" s="75"/>
      <c r="AP284" s="75"/>
      <c r="AQ284" s="75"/>
      <c r="AR284" s="75"/>
      <c r="AS284" s="75"/>
      <c r="AT284" s="75"/>
      <c r="AU284" s="75"/>
      <c r="AV284" s="75"/>
      <c r="AW284" s="75"/>
      <c r="AX284" s="75"/>
      <c r="AY284" s="75"/>
      <c r="AZ284" s="75"/>
      <c r="BA284" s="75"/>
      <c r="BB284" s="75"/>
      <c r="BC284" s="75"/>
      <c r="BD284" s="75"/>
      <c r="BE284" s="75"/>
      <c r="BF284" s="75"/>
      <c r="BG284" s="75"/>
      <c r="BH284" s="75"/>
      <c r="BI284" s="75"/>
      <c r="BJ284" s="75"/>
      <c r="BK284" s="75"/>
      <c r="BL284" s="75"/>
      <c r="BM284" s="75"/>
      <c r="BN284" s="75"/>
      <c r="BO284" s="75"/>
      <c r="BP284" s="75"/>
      <c r="BQ284" s="75"/>
      <c r="BR284" s="75"/>
      <c r="BS284" s="75"/>
      <c r="BT284" s="75"/>
      <c r="BU284" s="75"/>
      <c r="BV284" s="75"/>
      <c r="BW284" s="75"/>
      <c r="BX284" s="75"/>
    </row>
    <row r="285">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c r="AA285" s="75"/>
      <c r="AB285" s="75"/>
      <c r="AC285" s="75"/>
      <c r="AD285" s="75"/>
      <c r="AE285" s="75"/>
      <c r="AF285" s="75"/>
      <c r="AG285" s="75"/>
      <c r="AH285" s="75"/>
      <c r="AI285" s="75"/>
      <c r="AJ285" s="75"/>
      <c r="AK285" s="75"/>
      <c r="AL285" s="75"/>
      <c r="AM285" s="75"/>
      <c r="AN285" s="75"/>
      <c r="AO285" s="75"/>
      <c r="AP285" s="75"/>
      <c r="AQ285" s="75"/>
      <c r="AR285" s="75"/>
      <c r="AS285" s="75"/>
      <c r="AT285" s="75"/>
      <c r="AU285" s="75"/>
      <c r="AV285" s="75"/>
      <c r="AW285" s="75"/>
      <c r="AX285" s="75"/>
      <c r="AY285" s="75"/>
      <c r="AZ285" s="75"/>
      <c r="BA285" s="75"/>
      <c r="BB285" s="75"/>
      <c r="BC285" s="75"/>
      <c r="BD285" s="75"/>
      <c r="BE285" s="75"/>
      <c r="BF285" s="75"/>
      <c r="BG285" s="75"/>
      <c r="BH285" s="75"/>
      <c r="BI285" s="75"/>
      <c r="BJ285" s="75"/>
      <c r="BK285" s="75"/>
      <c r="BL285" s="75"/>
      <c r="BM285" s="75"/>
      <c r="BN285" s="75"/>
      <c r="BO285" s="75"/>
      <c r="BP285" s="75"/>
      <c r="BQ285" s="75"/>
      <c r="BR285" s="75"/>
      <c r="BS285" s="75"/>
      <c r="BT285" s="75"/>
      <c r="BU285" s="75"/>
      <c r="BV285" s="75"/>
      <c r="BW285" s="75"/>
      <c r="BX285" s="75"/>
    </row>
  </sheetData>
  <mergeCells count="1">
    <mergeCell ref="I8:J8"/>
  </mergeCells>
  <drawing r:id="rId2"/>
  <legacyDrawing r:id="rId3"/>
</worksheet>
</file>