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 state="hidden" name="Vocabulary Lists (pending)" sheetId="4" r:id="rId7"/>
  </sheets>
  <definedNames>
    <definedName hidden="1" localSheetId="0" name="_xlnm._FilterDatabase">'Field Reference Guide'!$A$6:$AB$92</definedName>
    <definedName hidden="1" localSheetId="1" name="_xlnm._FilterDatabase">'Term Reference Guide'!$A$3:$M$3655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<sst xmlns="http://schemas.openxmlformats.org/spreadsheetml/2006/main" count="6115" uniqueCount="118">
  <si>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</si>
  <si>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</si>
  <si>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</si>
  <si>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</si>
  <si>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</si>
  <si>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</si>
  <si>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</si>
  <si>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</si>
  <si>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</si>
  <si>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</si>
  <si>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</si>
  <si>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</si>
  <si>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</si>
  <si>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</si>
  <si>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</si>
  <si>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</si>
  <si>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</si>
  <si>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</si>
  <si>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</si>
  <si>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</si>
  <si>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6.4.4</t>
  </si>
  <si>
    <t>3.0.0</t>
  </si>
  <si>
    <t>8.5.5</t>
  </si>
  <si>
    <t>7.5.5</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</si>
  <si>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</si>
  <si>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</si>
  <si>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</si>
  <si>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</si>
  <si>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Mpox;Mpox_international</t>
  </si>
  <si>
    <t>Mpox</t>
  </si>
  <si>
    <t>6.5.5</t>
  </si>
  <si>
    <t>International</t>
  </si>
  <si>
    <t>Mpox_international</t>
  </si>
  <si>
    <t>MPox</t>
  </si>
  <si>
    <t>x</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</si>
  <si>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</si>
  <si>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</si>
  <si>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</si>
  <si>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</si>
  <si>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</si>
  <si>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</si>
  <si>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</si>
  <si>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</si>
  <si>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</si>
  <si>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</si>
  <si>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</si>
  <si>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</si>
  <si>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</si>
  <si>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6.4</t>
  </si>
  <si>
    <t>N/A</t>
  </si>
  <si>
    <t>1.1</t>
  </si>
  <si>
    <t>New fields: assay target name, genome sequence file name, genome sequence file path, experimental specimen role type, INSDC sequence read accession (replaces SRA accession), INSDC assembly accession (replaces GenBank accession).</t>
  </si>
  <si>
    <t>new values for experimental specimen role type</t>
  </si>
  <si>
    <t>new values for gene symbol menu</t>
  </si>
  <si>
    <t>Added definitions for picklists</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</si>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</sst>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4">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9.0"/>
      <color theme="1"/>
      <name val="Arial"/>
    </font>
    <font>
      <sz val="12.0"/>
      <color rgb="FF0000FF"/>
      <name val="Arial"/>
    </font>
    <font>
      <b/>
      <u/>
      <color rgb="FF1155CC"/>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CE5CD"/>
        <bgColor rgb="FFFCE5CD"/>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0" fontId="11" numFmtId="0" xfId="0" applyAlignment="1" applyFont="1">
      <alignment readingOrder="0" shrinkToFit="0" wrapText="1"/>
    </xf>
    <xf borderId="0" fillId="7" fontId="6" numFmtId="0" xfId="0" applyAlignment="1" applyFill="1" applyFont="1">
      <alignment shrinkToFit="0" vertical="top" wrapText="1"/>
    </xf>
    <xf borderId="0" fillId="0" fontId="4" numFmtId="0" xfId="0" applyAlignment="1" applyFont="1">
      <alignment shrinkToFit="0" vertical="top" wrapText="1"/>
    </xf>
    <xf borderId="0" fillId="0" fontId="11" numFmtId="49" xfId="0" applyAlignment="1" applyFont="1" applyNumberFormat="1">
      <alignment shrinkToFit="0" wrapText="1"/>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shrinkToFit="0" vertical="top" wrapText="1"/>
    </xf>
    <xf borderId="0" fillId="0" fontId="4" numFmtId="0" xfId="0" applyAlignment="1" applyFont="1">
      <alignment shrinkToFit="0" vertical="top" wrapText="1"/>
    </xf>
    <xf borderId="0" fillId="0" fontId="14" numFmtId="0" xfId="0" applyAlignment="1" applyFont="1">
      <alignment shrinkToFit="0" wrapText="1"/>
    </xf>
    <xf borderId="0" fillId="0" fontId="4" numFmtId="0" xfId="0" applyAlignment="1" applyFont="1">
      <alignment shrinkToFit="0" vertical="bottom" wrapText="1"/>
    </xf>
    <xf borderId="0" fillId="7" fontId="4" numFmtId="0" xfId="0" applyAlignment="1" applyFont="1">
      <alignment shrinkToFit="0" vertical="top" wrapText="1"/>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1" numFmtId="0" xfId="0" applyFont="1"/>
    <xf borderId="0" fillId="0" fontId="12" numFmtId="0" xfId="0" applyAlignment="1" applyFont="1">
      <alignment readingOrder="0" shrinkToFit="0" vertical="top" wrapText="1"/>
    </xf>
    <xf borderId="0" fillId="0" fontId="4" numFmtId="0" xfId="0" applyAlignment="1" applyFont="1">
      <alignment vertical="top"/>
    </xf>
    <xf borderId="0" fillId="0" fontId="16" numFmtId="0" xfId="0" applyAlignment="1" applyFont="1">
      <alignment shrinkToFit="0" vertical="top" wrapText="1"/>
    </xf>
    <xf borderId="0" fillId="8" fontId="4" numFmtId="0" xfId="0" applyAlignment="1" applyFill="1" applyFont="1">
      <alignment vertical="top"/>
    </xf>
    <xf borderId="0" fillId="0" fontId="11" numFmtId="0" xfId="0" applyAlignment="1" applyFont="1">
      <alignment readingOrder="0"/>
    </xf>
    <xf borderId="0" fillId="0" fontId="11" numFmtId="49" xfId="0" applyFont="1" applyNumberFormat="1"/>
    <xf borderId="0" fillId="0" fontId="4" numFmtId="0" xfId="0" applyAlignment="1" applyFont="1">
      <alignment readingOrder="0" vertical="top"/>
    </xf>
    <xf borderId="0" fillId="0" fontId="17" numFmtId="0" xfId="0" applyAlignment="1" applyFont="1">
      <alignment vertical="bottom"/>
    </xf>
    <xf borderId="0" fillId="0" fontId="4" numFmtId="49" xfId="0" applyAlignment="1" applyFont="1" applyNumberFormat="1">
      <alignment vertical="bottom"/>
    </xf>
    <xf borderId="2" fillId="0" fontId="6" numFmtId="0" xfId="0" applyBorder="1" applyFont="1"/>
    <xf borderId="2" fillId="0" fontId="6" numFmtId="0" xfId="0" applyAlignment="1" applyBorder="1" applyFont="1">
      <alignment horizontal="center"/>
    </xf>
    <xf borderId="2" fillId="0" fontId="18" numFmtId="0" xfId="0" applyAlignment="1" applyBorder="1" applyFont="1">
      <alignment horizontal="center" shrinkToFit="0" wrapText="1"/>
    </xf>
    <xf borderId="2" fillId="0" fontId="6" numFmtId="49" xfId="0" applyAlignment="1" applyBorder="1" applyFont="1" applyNumberFormat="1">
      <alignment horizontal="center" shrinkToFit="0" wrapText="1"/>
    </xf>
    <xf borderId="0" fillId="0" fontId="4" numFmtId="0" xfId="0" applyFont="1"/>
    <xf borderId="0" fillId="0" fontId="4" numFmtId="165" xfId="0" applyAlignment="1" applyFont="1" applyNumberFormat="1">
      <alignment horizontal="right" readingOrder="0" vertical="bottom"/>
    </xf>
    <xf borderId="0" fillId="0" fontId="4" numFmtId="0" xfId="0" applyAlignment="1" applyFont="1">
      <alignment horizontal="center" readingOrder="0" vertical="bottom"/>
    </xf>
    <xf borderId="0" fillId="0" fontId="4" numFmtId="49" xfId="0" applyAlignment="1" applyFont="1" applyNumberFormat="1">
      <alignment horizontal="center" readingOrder="0" shrinkToFit="0" vertical="bottom" wrapText="1"/>
    </xf>
    <xf borderId="0" fillId="0" fontId="4" numFmtId="49" xfId="0" applyAlignment="1" applyFont="1" applyNumberFormat="1">
      <alignment horizontal="center" readingOrder="0" vertical="bottom"/>
    </xf>
    <xf borderId="0" fillId="0" fontId="4" numFmtId="0" xfId="0" applyAlignment="1" applyFont="1">
      <alignment readingOrder="0" vertical="bottom"/>
    </xf>
    <xf borderId="0" fillId="0" fontId="11" numFmtId="165" xfId="0" applyAlignment="1" applyFont="1" applyNumberFormat="1">
      <alignment readingOrder="0"/>
    </xf>
    <xf borderId="0" fillId="0" fontId="11" numFmtId="0" xfId="0" applyAlignment="1" applyFont="1">
      <alignment horizontal="center"/>
    </xf>
    <xf borderId="0" fillId="0" fontId="11" numFmtId="0" xfId="0" applyAlignment="1" applyFont="1">
      <alignment horizontal="center" readingOrder="0"/>
    </xf>
    <xf borderId="0" fillId="0" fontId="19" numFmtId="0" xfId="0" applyAlignment="1" applyFont="1">
      <alignment readingOrder="0" shrinkToFit="0" vertical="bottom" wrapText="0"/>
    </xf>
    <xf borderId="0" fillId="0" fontId="20"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9" fontId="21" numFmtId="0" xfId="0" applyAlignment="1" applyFill="1" applyFont="1">
      <alignment readingOrder="0"/>
    </xf>
    <xf borderId="0" fillId="0" fontId="20" numFmtId="0" xfId="0" applyAlignment="1" applyFont="1">
      <alignment readingOrder="0" shrinkToFit="0" vertical="bottom" wrapText="0"/>
    </xf>
    <xf borderId="0" fillId="6" fontId="12" numFmtId="0" xfId="0" applyAlignment="1" applyFont="1">
      <alignment horizontal="left"/>
    </xf>
    <xf borderId="0" fillId="6" fontId="20" numFmtId="0" xfId="0" applyFont="1"/>
    <xf borderId="0" fillId="10" fontId="21" numFmtId="0" xfId="0" applyAlignment="1" applyFill="1" applyFont="1">
      <alignment readingOrder="0"/>
    </xf>
    <xf borderId="0" fillId="0" fontId="22" numFmtId="0" xfId="0" applyAlignment="1" applyFont="1">
      <alignment readingOrder="0" shrinkToFit="0" vertical="bottom" wrapText="0"/>
    </xf>
    <xf borderId="0" fillId="0" fontId="22" numFmtId="0" xfId="0" applyAlignment="1" applyFont="1">
      <alignment shrinkToFit="0" vertical="bottom" wrapText="0"/>
    </xf>
    <xf borderId="0" fillId="6" fontId="22" numFmtId="0" xfId="0" applyAlignment="1" applyFont="1">
      <alignment horizontal="left" readingOrder="0"/>
    </xf>
    <xf borderId="0" fillId="0" fontId="23" numFmtId="0" xfId="0" applyAlignment="1" applyFont="1">
      <alignment readingOrder="0" shrinkToFit="0" vertical="bottom" wrapText="0"/>
    </xf>
  </cellXfs>
  <cellStyles count="1">
    <cellStyle xfId="0" name="Normal" builtinId="0"/>
  </cellStyles>
  <dxfs count="4">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P1" s="7"/>
      <c r="Q1" s="7"/>
      <c r="R1" s="7"/>
      <c r="S1" s="7"/>
      <c r="T1" s="7"/>
      <c r="U1" s="7"/>
      <c r="V1" s="7"/>
      <c r="W1" s="7"/>
      <c r="X1" s="7"/>
      <c r="Y1" s="7"/>
      <c r="Z1" s="7"/>
      <c r="AA1" s="7"/>
      <c r="AB1" s="7"/>
    </row>
    <row r="2">
      <c r="A2" s="8"/>
      <c r="B2" s="9" t="s">
        <v>11</v>
      </c>
      <c r="C2" s="9"/>
      <c r="D2" s="9"/>
      <c r="E2" s="8"/>
      <c r="F2" s="10"/>
      <c r="G2" s="10"/>
      <c r="H2" s="4"/>
      <c r="I2" s="11" t="s">
        <v>12</v>
      </c>
      <c r="K2" s="12" t="s">
        <v>13</v>
      </c>
      <c r="L2" s="12" t="s">
        <v>14</v>
      </c>
      <c r="M2" s="12" t="s">
        <v>15</v>
      </c>
      <c r="N2" s="13"/>
      <c r="O2" s="14"/>
      <c r="P2" s="15"/>
      <c r="Q2" s="15"/>
      <c r="R2" s="15"/>
      <c r="S2" s="15"/>
      <c r="T2" s="15"/>
      <c r="U2" s="15"/>
      <c r="V2" s="15"/>
      <c r="W2" s="15"/>
      <c r="X2" s="15"/>
      <c r="Y2" s="15"/>
      <c r="Z2" s="15"/>
      <c r="AA2" s="15"/>
      <c r="AB2" s="15"/>
    </row>
    <row r="3">
      <c r="A3" s="8"/>
      <c r="B3" s="16" t="s">
        <v>16</v>
      </c>
      <c r="C3" s="16"/>
      <c r="D3" s="16"/>
      <c r="E3" s="8"/>
      <c r="F3" s="10"/>
      <c r="G3" s="10"/>
      <c r="H3" s="4"/>
      <c r="K3" s="4"/>
      <c r="L3" s="4"/>
      <c r="M3" s="4"/>
      <c r="N3" s="13"/>
      <c r="O3" s="17"/>
      <c r="P3" s="15"/>
      <c r="Q3" s="15"/>
      <c r="R3" s="15"/>
      <c r="S3" s="15"/>
      <c r="T3" s="15"/>
      <c r="U3" s="15"/>
      <c r="V3" s="15"/>
      <c r="W3" s="15"/>
      <c r="X3" s="15"/>
      <c r="Y3" s="15"/>
      <c r="Z3" s="15"/>
      <c r="AA3" s="15"/>
      <c r="AB3" s="15"/>
    </row>
    <row r="4">
      <c r="A4" s="8"/>
      <c r="B4" s="18" t="s">
        <v>17</v>
      </c>
      <c r="C4" s="18"/>
      <c r="D4" s="18"/>
      <c r="E4" s="8"/>
      <c r="F4" s="10"/>
      <c r="G4" s="10"/>
      <c r="H4" s="4"/>
      <c r="K4" s="10"/>
      <c r="L4" s="10"/>
      <c r="M4" s="10"/>
      <c r="N4" s="13"/>
      <c r="O4" s="14"/>
      <c r="P4" s="15"/>
      <c r="Q4" s="15"/>
      <c r="R4" s="15"/>
      <c r="S4" s="15"/>
      <c r="T4" s="15"/>
      <c r="U4" s="15"/>
      <c r="V4" s="15"/>
      <c r="W4" s="15"/>
      <c r="X4" s="15"/>
      <c r="Y4" s="15"/>
      <c r="Z4" s="15"/>
      <c r="AA4" s="15"/>
      <c r="AB4" s="15"/>
    </row>
    <row r="5">
      <c r="A5" s="19"/>
      <c r="B5" s="20" t="s">
        <v>18</v>
      </c>
      <c r="C5" s="20"/>
      <c r="D5" s="20"/>
      <c r="E5" s="19"/>
      <c r="F5" s="21"/>
      <c r="G5" s="21"/>
      <c r="H5" s="22"/>
      <c r="I5" s="23"/>
      <c r="J5" s="23"/>
      <c r="K5" s="21"/>
      <c r="L5" s="21"/>
      <c r="M5" s="21"/>
      <c r="N5" s="13"/>
      <c r="O5" s="24"/>
      <c r="P5" s="25"/>
      <c r="Q5" s="25"/>
      <c r="R5" s="25"/>
      <c r="S5" s="25"/>
      <c r="T5" s="25"/>
      <c r="U5" s="25"/>
      <c r="V5" s="25"/>
      <c r="W5" s="25"/>
      <c r="X5" s="25"/>
      <c r="Y5" s="25"/>
      <c r="Z5" s="25"/>
      <c r="AA5" s="25"/>
      <c r="AB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f>
        <v/>
      </c>
      <c r="D6" s="28" t="str">
        <f>IFERROR(__xludf.DUMMYFUNCTION("IMPORTRANGE(""https://docs.google.com/spreadsheets/d/1jPQAIJcL_xa3oBVFEsYRGLGf7ESTOwzsTSjKZ-0CTYE/edit?gid=1995294799#gid=1995294799"",""MPox-slots!K2:K"")"),"")</f>
        <v/>
      </c>
      <c r="E6" s="27" t="str">
        <f>IFERROR(__xludf.DUMMYFUNCTION("IMPORTRANGE(""https://docs.google.com/spreadsheets/d/1jPQAIJcL_xa3oBVFEsYRGLGf7ESTOwzsTSjKZ-0CTYE/edit?gid=1995294799#gid=1995294799"",""MPox-slots!C2:C"")"),"GENEPIO:0001122")</f>
        <v>GENEPIO:0001122</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26" t="str">
        <f>IFERROR(__xludf.DUMMYFUNCTION("IMPORTRANGE(""https://docs.google.com/spreadsheets/d/1jPQAIJcL_xa3oBVFEsYRGLGf7ESTOwzsTSjKZ-0CTYE/edit?gid=1995294799#gid=1995294799"",""MPox-slots!A2:A"")"),"Mpox;MpoxInternational")</f>
        <v>Mpox;MpoxInternational</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t="str">
        <f>IFERROR(__xludf.DUMMYFUNCTION("""COMPUTED_VALUE"""),"GENEPIO:0001123")</f>
        <v>GENEPIO:0001123</v>
      </c>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0" t="s">
        <v>19</v>
      </c>
      <c r="L7" s="30" t="s">
        <v>19</v>
      </c>
      <c r="M7" s="30" t="s">
        <v>19</v>
      </c>
      <c r="N7" s="31" t="str">
        <f>IFERROR(__xludf.DUMMYFUNCTION("""COMPUTED_VALUE"""),"Mpox;MpoxInternational")</f>
        <v>Mpox;MpoxInternational</v>
      </c>
      <c r="O7" s="29"/>
      <c r="P7" s="29"/>
      <c r="Q7" s="29"/>
      <c r="R7" s="29"/>
      <c r="S7" s="29"/>
      <c r="T7" s="29"/>
      <c r="U7" s="29"/>
      <c r="V7" s="29"/>
      <c r="W7" s="29"/>
      <c r="X7" s="29"/>
      <c r="Y7" s="29"/>
      <c r="Z7" s="29"/>
      <c r="AA7" s="29"/>
      <c r="AB7" s="29"/>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t="str">
        <f>IFERROR(__xludf.DUMMYFUNCTION("""COMPUTED_VALUE"""),"GENEPIO:0001128")</f>
        <v>GENEPIO:0001128</v>
      </c>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0" t="s">
        <v>19</v>
      </c>
      <c r="L8" s="30" t="s">
        <v>19</v>
      </c>
      <c r="M8" s="30" t="s">
        <v>19</v>
      </c>
      <c r="N8" s="32" t="str">
        <f>IFERROR(__xludf.DUMMYFUNCTION("""COMPUTED_VALUE"""),"Mpox")</f>
        <v>Mpox</v>
      </c>
      <c r="O8" s="29"/>
      <c r="P8" s="29"/>
      <c r="Q8" s="29"/>
      <c r="R8" s="29"/>
      <c r="S8" s="29"/>
      <c r="T8" s="29"/>
      <c r="U8" s="29"/>
      <c r="V8" s="29"/>
      <c r="W8" s="29"/>
      <c r="X8" s="29"/>
      <c r="Y8" s="29"/>
      <c r="Z8" s="29"/>
      <c r="AA8" s="29"/>
      <c r="AB8" s="29"/>
    </row>
    <row r="9">
      <c r="A9" s="29" t="str">
        <f>IFERROR(__xludf.DUMMYFUNCTION("""COMPUTED_VALUE"""),"Database Identifiers")</f>
        <v>Database Identifiers</v>
      </c>
      <c r="B9" s="29" t="str">
        <f>IFERROR(__xludf.DUMMYFUNCTION("""COMPUTED_VALUE"""),"case ID")</f>
        <v>case ID</v>
      </c>
      <c r="C9" s="29"/>
      <c r="D9" s="29"/>
      <c r="E9" s="29" t="str">
        <f>IFERROR(__xludf.DUMMYFUNCTION("""COMPUTED_VALUE"""),"GENEPIO:0100281")</f>
        <v>GENEPIO:0100281</v>
      </c>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0" t="s">
        <v>19</v>
      </c>
      <c r="L9" s="30" t="s">
        <v>19</v>
      </c>
      <c r="M9" s="30" t="s">
        <v>19</v>
      </c>
      <c r="N9" s="31" t="str">
        <f>IFERROR(__xludf.DUMMYFUNCTION("""COMPUTED_VALUE"""),"Mpox;MpoxInternational")</f>
        <v>Mpox;MpoxInternational</v>
      </c>
      <c r="O9" s="29"/>
      <c r="P9" s="29"/>
      <c r="Q9" s="29"/>
      <c r="R9" s="29"/>
      <c r="S9" s="29"/>
      <c r="T9" s="29"/>
      <c r="U9" s="29"/>
      <c r="V9" s="29"/>
      <c r="W9" s="29"/>
      <c r="X9" s="29"/>
      <c r="Y9" s="29"/>
      <c r="Z9" s="29"/>
      <c r="AA9" s="29"/>
      <c r="AB9" s="29"/>
    </row>
    <row r="10">
      <c r="A10" s="29" t="str">
        <f>IFERROR(__xludf.DUMMYFUNCTION("""COMPUTED_VALUE"""),"Database Identifiers")</f>
        <v>Database Identifiers</v>
      </c>
      <c r="B10" s="29" t="str">
        <f>IFERROR(__xludf.DUMMYFUNCTION("""COMPUTED_VALUE"""),"bioproject accession")</f>
        <v>bioproject accession</v>
      </c>
      <c r="C10" s="29"/>
      <c r="D10" s="29"/>
      <c r="E10" s="29" t="str">
        <f>IFERROR(__xludf.DUMMYFUNCTION("""COMPUTED_VALUE"""),"GENEPIO:0001136")</f>
        <v>GENEPIO:0001136</v>
      </c>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0" t="s">
        <v>19</v>
      </c>
      <c r="L10" s="30" t="s">
        <v>19</v>
      </c>
      <c r="M10" s="30" t="s">
        <v>19</v>
      </c>
      <c r="N10" s="31" t="str">
        <f>IFERROR(__xludf.DUMMYFUNCTION("""COMPUTED_VALUE"""),"Mpox;MpoxInternational")</f>
        <v>Mpox;MpoxInternational</v>
      </c>
      <c r="O10" s="29"/>
      <c r="P10" s="29"/>
      <c r="Q10" s="29"/>
      <c r="R10" s="29"/>
      <c r="S10" s="29"/>
      <c r="T10" s="29"/>
      <c r="U10" s="29"/>
      <c r="V10" s="29"/>
      <c r="W10" s="29"/>
      <c r="X10" s="29"/>
      <c r="Y10" s="29"/>
      <c r="Z10" s="29"/>
      <c r="AA10" s="29"/>
      <c r="AB10" s="29"/>
    </row>
    <row r="11">
      <c r="A11" s="29" t="str">
        <f>IFERROR(__xludf.DUMMYFUNCTION("""COMPUTED_VALUE"""),"Database Identifiers")</f>
        <v>Database Identifiers</v>
      </c>
      <c r="B11" s="29" t="str">
        <f>IFERROR(__xludf.DUMMYFUNCTION("""COMPUTED_VALUE"""),"biosample accession")</f>
        <v>biosample accession</v>
      </c>
      <c r="C11" s="29"/>
      <c r="D11" s="29"/>
      <c r="E11" s="29" t="str">
        <f>IFERROR(__xludf.DUMMYFUNCTION("""COMPUTED_VALUE"""),"GENEPIO:0001139")</f>
        <v>GENEPIO:0001139</v>
      </c>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0" t="s">
        <v>19</v>
      </c>
      <c r="L11" s="30" t="s">
        <v>19</v>
      </c>
      <c r="M11" s="30" t="s">
        <v>19</v>
      </c>
      <c r="N11" s="31" t="str">
        <f>IFERROR(__xludf.DUMMYFUNCTION("""COMPUTED_VALUE"""),"Mpox;MpoxInternational")</f>
        <v>Mpox;MpoxInternational</v>
      </c>
      <c r="O11" s="29"/>
      <c r="P11" s="29"/>
      <c r="Q11" s="29"/>
      <c r="R11" s="29"/>
      <c r="S11" s="29"/>
      <c r="T11" s="29"/>
      <c r="U11" s="29"/>
      <c r="V11" s="29"/>
      <c r="W11" s="29"/>
      <c r="X11" s="29"/>
      <c r="Y11" s="29"/>
      <c r="Z11" s="29"/>
      <c r="AA11" s="29"/>
      <c r="AB11" s="29"/>
    </row>
    <row r="12">
      <c r="A12" s="29" t="str">
        <f>IFERROR(__xludf.DUMMYFUNCTION("""COMPUTED_VALUE"""),"Database Identifiers")</f>
        <v>Database Identifiers</v>
      </c>
      <c r="B12" s="29" t="str">
        <f>IFERROR(__xludf.DUMMYFUNCTION("""COMPUTED_VALUE"""),"INSDC sequence read accession")</f>
        <v>INSDC sequence read accession</v>
      </c>
      <c r="C12" s="29"/>
      <c r="D12" s="29"/>
      <c r="E12" s="33" t="str">
        <f>IFERROR(__xludf.DUMMYFUNCTION("""COMPUTED_VALUE"""),"GENEPIO:0101203")</f>
        <v>GENEPIO:0101203</v>
      </c>
      <c r="F12" s="29"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2" s="29"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2" s="29" t="str">
        <f>IFERROR(__xludf.DUMMYFUNCTION("""COMPUTED_VALUE"""),"SRR123456, ERR123456, DRR123456, CRR123456")</f>
        <v>SRR123456, ERR123456, DRR123456, CRR123456</v>
      </c>
      <c r="I12" s="29"/>
      <c r="J12" s="29"/>
      <c r="K12" s="30" t="s">
        <v>20</v>
      </c>
      <c r="L12" s="30" t="s">
        <v>20</v>
      </c>
      <c r="M12" s="30" t="s">
        <v>20</v>
      </c>
      <c r="N12" s="31" t="str">
        <f>IFERROR(__xludf.DUMMYFUNCTION("""COMPUTED_VALUE"""),"Mpox;MpoxInternational")</f>
        <v>Mpox;MpoxInternational</v>
      </c>
      <c r="O12" s="29"/>
      <c r="P12" s="29"/>
      <c r="Q12" s="29"/>
      <c r="R12" s="29"/>
      <c r="S12" s="29"/>
      <c r="T12" s="29"/>
      <c r="U12" s="29"/>
      <c r="V12" s="29"/>
      <c r="W12" s="29"/>
      <c r="X12" s="29"/>
      <c r="Y12" s="29"/>
      <c r="Z12" s="29"/>
      <c r="AA12" s="29"/>
      <c r="AB12" s="29"/>
    </row>
    <row r="13">
      <c r="A13" s="29" t="str">
        <f>IFERROR(__xludf.DUMMYFUNCTION("""COMPUTED_VALUE"""),"Database Identifiers")</f>
        <v>Database Identifiers</v>
      </c>
      <c r="B13" s="29" t="str">
        <f>IFERROR(__xludf.DUMMYFUNCTION("""COMPUTED_VALUE"""),"INSDC assembly accession")</f>
        <v>INSDC assembly accession</v>
      </c>
      <c r="C13" s="29"/>
      <c r="D13" s="29"/>
      <c r="E13" s="33" t="str">
        <f>IFERROR(__xludf.DUMMYFUNCTION("""COMPUTED_VALUE"""),"GENEPIO:0101204")</f>
        <v>GENEPIO:0101204</v>
      </c>
      <c r="F13" s="29"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3" s="29" t="str">
        <f>IFERROR(__xludf.DUMMYFUNCTION("""COMPUTED_VALUE"""),"Store the versioned accession assigned to the submitted sequence e.g. the GenBank accession version.")</f>
        <v>Store the versioned accession assigned to the submitted sequence e.g. the GenBank accession version.</v>
      </c>
      <c r="H13" s="29" t="str">
        <f>IFERROR(__xludf.DUMMYFUNCTION("""COMPUTED_VALUE"""),"LZ986655.1")</f>
        <v>LZ986655.1</v>
      </c>
      <c r="I13" s="29"/>
      <c r="J13" s="29"/>
      <c r="K13" s="30" t="s">
        <v>20</v>
      </c>
      <c r="L13" s="30" t="s">
        <v>20</v>
      </c>
      <c r="M13" s="30" t="s">
        <v>20</v>
      </c>
      <c r="N13" s="31" t="str">
        <f>IFERROR(__xludf.DUMMYFUNCTION("""COMPUTED_VALUE"""),"Mpox;MpoxInternational")</f>
        <v>Mpox;MpoxInternational</v>
      </c>
      <c r="O13" s="29"/>
      <c r="P13" s="29"/>
      <c r="Q13" s="29"/>
      <c r="R13" s="29"/>
      <c r="S13" s="29"/>
      <c r="T13" s="29"/>
      <c r="U13" s="29"/>
      <c r="V13" s="29"/>
      <c r="W13" s="29"/>
      <c r="X13" s="29"/>
      <c r="Y13" s="29"/>
      <c r="Z13" s="29"/>
      <c r="AA13" s="29"/>
      <c r="AB13" s="29"/>
    </row>
    <row r="14">
      <c r="A14" s="29" t="str">
        <f>IFERROR(__xludf.DUMMYFUNCTION("""COMPUTED_VALUE"""),"Database Identifiers")</f>
        <v>Database Identifiers</v>
      </c>
      <c r="B14" s="29" t="str">
        <f>IFERROR(__xludf.DUMMYFUNCTION("""COMPUTED_VALUE"""),"GISAID virus name")</f>
        <v>GISAID virus name</v>
      </c>
      <c r="C14" s="29"/>
      <c r="D14" s="29"/>
      <c r="E14" s="29" t="str">
        <f>IFERROR(__xludf.DUMMYFUNCTION("""COMPUTED_VALUE"""),"GENEPIO:0100282")</f>
        <v>GENEPIO:0100282</v>
      </c>
      <c r="F14" s="29" t="str">
        <f>IFERROR(__xludf.DUMMYFUNCTION("""COMPUTED_VALUE"""),"Identifier of the specific isolate.")</f>
        <v>Identifier of the specific isolate.</v>
      </c>
      <c r="G14"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29" t="str">
        <f>IFERROR(__xludf.DUMMYFUNCTION("""COMPUTED_VALUE"""),"hMpxV/Canada/UN-NML-12345/2022")</f>
        <v>hMpxV/Canada/UN-NML-12345/2022</v>
      </c>
      <c r="I14" s="29"/>
      <c r="J14" s="29"/>
      <c r="K14" s="30" t="s">
        <v>19</v>
      </c>
      <c r="L14" s="30" t="s">
        <v>19</v>
      </c>
      <c r="M14" s="30" t="s">
        <v>19</v>
      </c>
      <c r="N14" s="34" t="str">
        <f>IFERROR(__xludf.DUMMYFUNCTION("""COMPUTED_VALUE"""),"MpoxInternational")</f>
        <v>MpoxInternational</v>
      </c>
      <c r="O14" s="29"/>
      <c r="P14" s="29"/>
      <c r="Q14" s="29"/>
      <c r="R14" s="29"/>
      <c r="S14" s="29"/>
      <c r="T14" s="29"/>
      <c r="U14" s="29"/>
      <c r="V14" s="29"/>
      <c r="W14" s="29"/>
      <c r="X14" s="29"/>
      <c r="Y14" s="29"/>
      <c r="Z14" s="29"/>
      <c r="AA14" s="29"/>
      <c r="AB14" s="29"/>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t="str">
        <f>IFERROR(__xludf.DUMMYFUNCTION("""COMPUTED_VALUE"""),"GENEPIO:0001147")</f>
        <v>GENEPIO:0001147</v>
      </c>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0" t="s">
        <v>19</v>
      </c>
      <c r="L15" s="30" t="s">
        <v>19</v>
      </c>
      <c r="M15" s="30" t="s">
        <v>19</v>
      </c>
      <c r="N15" s="31" t="str">
        <f>IFERROR(__xludf.DUMMYFUNCTION("""COMPUTED_VALUE"""),"Mpox;MpoxInternational")</f>
        <v>Mpox;MpoxInternational</v>
      </c>
      <c r="O15" s="29"/>
      <c r="P15" s="29"/>
      <c r="Q15" s="29"/>
      <c r="R15" s="29"/>
      <c r="S15" s="29"/>
      <c r="T15" s="29"/>
      <c r="U15" s="29"/>
      <c r="V15" s="29"/>
      <c r="W15" s="29"/>
      <c r="X15" s="29"/>
      <c r="Y15" s="29"/>
      <c r="Z15" s="29"/>
      <c r="AA15" s="29"/>
      <c r="AB15" s="29"/>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t="str">
        <f>IFERROR(__xludf.DUMMYFUNCTION("""COMPUTED_VALUE"""),"GENEPIO:0001150")</f>
        <v>GENEPIO:0001150</v>
      </c>
      <c r="F16" s="29"/>
      <c r="G16" s="29"/>
      <c r="H16" s="29"/>
      <c r="I16" s="29"/>
      <c r="J16" s="29"/>
      <c r="K16" s="29"/>
      <c r="L16" s="29"/>
      <c r="M16" s="29"/>
      <c r="N16" s="31" t="str">
        <f>IFERROR(__xludf.DUMMYFUNCTION("""COMPUTED_VALUE"""),"Mpox;MpoxInternational")</f>
        <v>Mpox;MpoxInternational</v>
      </c>
      <c r="O16" s="29"/>
      <c r="P16" s="29"/>
      <c r="Q16" s="29"/>
      <c r="R16" s="29"/>
      <c r="S16" s="29"/>
      <c r="T16" s="29"/>
      <c r="U16" s="29"/>
      <c r="V16" s="29"/>
      <c r="W16" s="29"/>
      <c r="X16" s="29"/>
      <c r="Y16" s="29"/>
      <c r="Z16" s="29"/>
      <c r="AA16" s="29"/>
      <c r="AB16" s="29"/>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t="str">
        <f>IFERROR(__xludf.DUMMYFUNCTION("""COMPUTED_VALUE"""),"GENEPIO:0001153")</f>
        <v>GENEPIO:0001153</v>
      </c>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0" t="s">
        <v>19</v>
      </c>
      <c r="L17" s="30" t="s">
        <v>19</v>
      </c>
      <c r="M17" s="30" t="s">
        <v>19</v>
      </c>
      <c r="N17" s="34" t="str">
        <f>IFERROR(__xludf.DUMMYFUNCTION("""COMPUTED_VALUE"""),"Mpox")</f>
        <v>Mpox</v>
      </c>
      <c r="O17" s="29"/>
      <c r="P17" s="29"/>
      <c r="Q17" s="29"/>
      <c r="R17" s="29"/>
      <c r="S17" s="29"/>
      <c r="T17" s="29"/>
      <c r="U17" s="29"/>
      <c r="V17" s="29"/>
      <c r="W17" s="29"/>
      <c r="X17" s="29"/>
      <c r="Y17" s="29"/>
      <c r="Z17" s="29"/>
      <c r="AA17" s="29"/>
      <c r="AB17" s="29"/>
    </row>
    <row r="18">
      <c r="A18" s="29" t="str">
        <f>IFERROR(__xludf.DUMMYFUNCTION("""COMPUTED_VALUE"""),"Sample collection and processing")</f>
        <v>Sample collection and processing</v>
      </c>
      <c r="B18" s="29" t="str">
        <f>IFERROR(__xludf.DUMMYFUNCTION("""COMPUTED_VALUE"""),"sample collected by")</f>
        <v>sample collected by</v>
      </c>
      <c r="C18" s="29" t="b">
        <f>IFERROR(__xludf.DUMMYFUNCTION("""COMPUTED_VALUE"""),TRUE)</f>
        <v>1</v>
      </c>
      <c r="D18" s="29"/>
      <c r="E18" s="29" t="str">
        <f>IFERROR(__xludf.DUMMYFUNCTION("""COMPUTED_VALUE"""),"GENEPIO:0001153")</f>
        <v>GENEPIO:0001153</v>
      </c>
      <c r="F18" s="29" t="str">
        <f>IFERROR(__xludf.DUMMYFUNCTION("""COMPUTED_VALUE"""),"The name of the agency that collected the original sample.")</f>
        <v>The name of the agency that collected the original sample.</v>
      </c>
      <c r="G18"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29" t="str">
        <f>IFERROR(__xludf.DUMMYFUNCTION("""COMPUTED_VALUE"""),"BC Centre for Disease Control")</f>
        <v>BC Centre for Disease Control</v>
      </c>
      <c r="I18" s="29"/>
      <c r="J18" s="29"/>
      <c r="K18" s="30" t="s">
        <v>19</v>
      </c>
      <c r="L18" s="30" t="s">
        <v>19</v>
      </c>
      <c r="M18" s="30" t="s">
        <v>19</v>
      </c>
      <c r="N18" s="34" t="str">
        <f>IFERROR(__xludf.DUMMYFUNCTION("""COMPUTED_VALUE"""),"MpoxInternational")</f>
        <v>MpoxInternational</v>
      </c>
      <c r="O18" s="29"/>
      <c r="P18" s="29"/>
      <c r="Q18" s="29"/>
      <c r="R18" s="29"/>
      <c r="S18" s="29"/>
      <c r="T18" s="29"/>
      <c r="U18" s="29"/>
      <c r="V18" s="29"/>
      <c r="W18" s="29"/>
      <c r="X18" s="29"/>
      <c r="Y18" s="29"/>
      <c r="Z18" s="29"/>
      <c r="AA18" s="29"/>
      <c r="AB18" s="29"/>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t="str">
        <f>IFERROR(__xludf.DUMMYFUNCTION("""COMPUTED_VALUE"""),"GENEPIO:0001156")</f>
        <v>GENEPIO:0001156</v>
      </c>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0" t="s">
        <v>19</v>
      </c>
      <c r="L19" s="30" t="s">
        <v>19</v>
      </c>
      <c r="M19" s="30" t="s">
        <v>19</v>
      </c>
      <c r="N19" s="31" t="str">
        <f>IFERROR(__xludf.DUMMYFUNCTION("""COMPUTED_VALUE"""),"Mpox;MpoxInternational")</f>
        <v>Mpox;MpoxInternational</v>
      </c>
      <c r="O19" s="29"/>
      <c r="P19" s="29"/>
      <c r="Q19" s="29"/>
      <c r="R19" s="29"/>
      <c r="S19" s="29"/>
      <c r="T19" s="29"/>
      <c r="U19" s="29"/>
      <c r="V19" s="29"/>
      <c r="W19" s="29"/>
      <c r="X19" s="29"/>
      <c r="Y19" s="29"/>
      <c r="Z19" s="29"/>
      <c r="AA19" s="29"/>
      <c r="AB19" s="29"/>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t="str">
        <f>IFERROR(__xludf.DUMMYFUNCTION("""COMPUTED_VALUE"""),"GENEPIO:0001158")</f>
        <v>GENEPIO:0001158</v>
      </c>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0" t="s">
        <v>19</v>
      </c>
      <c r="L20" s="30" t="s">
        <v>19</v>
      </c>
      <c r="M20" s="30" t="s">
        <v>19</v>
      </c>
      <c r="N20" s="31" t="str">
        <f>IFERROR(__xludf.DUMMYFUNCTION("""COMPUTED_VALUE"""),"Mpox;MpoxInternational")</f>
        <v>Mpox;MpoxInternational</v>
      </c>
      <c r="O20" s="29"/>
      <c r="P20" s="29"/>
      <c r="Q20" s="29"/>
      <c r="R20" s="29"/>
      <c r="S20" s="29"/>
      <c r="T20" s="29"/>
      <c r="U20" s="29"/>
      <c r="V20" s="29"/>
      <c r="W20" s="29"/>
      <c r="X20" s="29"/>
      <c r="Y20" s="29"/>
      <c r="Z20" s="29"/>
      <c r="AA20" s="29"/>
      <c r="AB20" s="29"/>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t="str">
        <f>IFERROR(__xludf.DUMMYFUNCTION("""COMPUTED_VALUE"""),"GENEPIO:0001174")</f>
        <v>GENEPIO:0001174</v>
      </c>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5">
        <f>IFERROR(__xludf.DUMMYFUNCTION("""COMPUTED_VALUE"""),43906.0)</f>
        <v>43906</v>
      </c>
      <c r="I21" s="29"/>
      <c r="J21" s="29"/>
      <c r="K21" s="30" t="s">
        <v>19</v>
      </c>
      <c r="L21" s="30" t="s">
        <v>19</v>
      </c>
      <c r="M21" s="30" t="s">
        <v>19</v>
      </c>
      <c r="N21" s="31" t="str">
        <f>IFERROR(__xludf.DUMMYFUNCTION("""COMPUTED_VALUE"""),"Mpox;MpoxInternational")</f>
        <v>Mpox;MpoxInternational</v>
      </c>
      <c r="O21" s="29"/>
      <c r="P21" s="29"/>
      <c r="Q21" s="29"/>
      <c r="R21" s="29"/>
      <c r="S21" s="29"/>
      <c r="T21" s="29"/>
      <c r="U21" s="29"/>
      <c r="V21" s="29"/>
      <c r="W21" s="29"/>
      <c r="X21" s="29"/>
      <c r="Y21" s="29"/>
      <c r="Z21" s="29"/>
      <c r="AA21" s="29"/>
      <c r="AB21" s="29"/>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t="str">
        <f>IFERROR(__xludf.DUMMYFUNCTION("""COMPUTED_VALUE"""),"GENEPIO:0001177")</f>
        <v>GENEPIO:0001177</v>
      </c>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0" t="s">
        <v>19</v>
      </c>
      <c r="L22" s="30" t="s">
        <v>19</v>
      </c>
      <c r="M22" s="30" t="s">
        <v>19</v>
      </c>
      <c r="N22" s="34" t="str">
        <f>IFERROR(__xludf.DUMMYFUNCTION("""COMPUTED_VALUE"""),"Mpox")</f>
        <v>Mpox</v>
      </c>
      <c r="O22" s="29"/>
      <c r="P22" s="29"/>
      <c r="Q22" s="29"/>
      <c r="R22" s="29"/>
      <c r="S22" s="29"/>
      <c r="T22" s="29"/>
      <c r="U22" s="29"/>
      <c r="V22" s="29"/>
      <c r="W22" s="29"/>
      <c r="X22" s="29"/>
      <c r="Y22" s="29"/>
      <c r="Z22" s="29"/>
      <c r="AA22" s="29"/>
      <c r="AB22" s="29"/>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t="str">
        <f>IFERROR(__xludf.DUMMYFUNCTION("""COMPUTED_VALUE"""),"GENEPIO:0001179")</f>
        <v>GENEPIO:0001179</v>
      </c>
      <c r="F23" s="29" t="str">
        <f>IFERROR(__xludf.DUMMYFUNCTION("""COMPUTED_VALUE"""),"The date on which the sample was received.")</f>
        <v>The date on which the sample was received.</v>
      </c>
      <c r="G23" s="29" t="str">
        <f>IFERROR(__xludf.DUMMYFUNCTION("""COMPUTED_VALUE"""),"ISO 8601 standard ""YYYY-MM-DD"".")</f>
        <v>ISO 8601 standard "YYYY-MM-DD".</v>
      </c>
      <c r="H23" s="35">
        <f>IFERROR(__xludf.DUMMYFUNCTION("""COMPUTED_VALUE"""),43910.0)</f>
        <v>43910</v>
      </c>
      <c r="I23" s="29"/>
      <c r="J23" s="29"/>
      <c r="K23" s="30" t="s">
        <v>19</v>
      </c>
      <c r="L23" s="30" t="s">
        <v>19</v>
      </c>
      <c r="M23" s="30" t="s">
        <v>19</v>
      </c>
      <c r="N23" s="31" t="str">
        <f>IFERROR(__xludf.DUMMYFUNCTION("""COMPUTED_VALUE"""),"Mpox;MpoxInternational")</f>
        <v>Mpox;MpoxInternational</v>
      </c>
      <c r="O23" s="29"/>
      <c r="P23" s="29"/>
      <c r="Q23" s="29"/>
      <c r="R23" s="29"/>
      <c r="S23" s="29"/>
      <c r="T23" s="29"/>
      <c r="U23" s="29"/>
      <c r="V23" s="29"/>
      <c r="W23" s="29"/>
      <c r="X23" s="29"/>
      <c r="Y23" s="29"/>
      <c r="Z23" s="29"/>
      <c r="AA23" s="29"/>
      <c r="AB23" s="29"/>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t="str">
        <f>IFERROR(__xludf.DUMMYFUNCTION("""COMPUTED_VALUE"""),"GENEPIO:0001181")</f>
        <v>GENEPIO:0001181</v>
      </c>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0" t="s">
        <v>19</v>
      </c>
      <c r="L24" s="30" t="s">
        <v>19</v>
      </c>
      <c r="M24" s="30" t="s">
        <v>19</v>
      </c>
      <c r="N24" s="31" t="str">
        <f>IFERROR(__xludf.DUMMYFUNCTION("""COMPUTED_VALUE"""),"Mpox")</f>
        <v>Mpox</v>
      </c>
      <c r="O24" s="29"/>
      <c r="P24" s="29"/>
      <c r="Q24" s="29"/>
      <c r="R24" s="29"/>
      <c r="S24" s="29"/>
      <c r="T24" s="29"/>
      <c r="U24" s="29"/>
      <c r="V24" s="29"/>
      <c r="W24" s="29"/>
      <c r="X24" s="29"/>
      <c r="Y24" s="29"/>
      <c r="Z24" s="29"/>
      <c r="AA24" s="29"/>
      <c r="AB24" s="29"/>
    </row>
    <row r="25">
      <c r="A25" s="29" t="str">
        <f>IFERROR(__xludf.DUMMYFUNCTION("""COMPUTED_VALUE"""),"Sample collection and processing")</f>
        <v>Sample collection and processing</v>
      </c>
      <c r="B25" s="29" t="str">
        <f>IFERROR(__xludf.DUMMYFUNCTION("""COMPUTED_VALUE"""),"geo_loc_name (country)")</f>
        <v>geo_loc_name (country)</v>
      </c>
      <c r="C25" s="29" t="b">
        <f>IFERROR(__xludf.DUMMYFUNCTION("""COMPUTED_VALUE"""),TRUE)</f>
        <v>1</v>
      </c>
      <c r="D25" s="29" t="str">
        <f>IFERROR(__xludf.DUMMYFUNCTION("""COMPUTED_VALUE"""),"")</f>
        <v/>
      </c>
      <c r="E25" s="29" t="str">
        <f>IFERROR(__xludf.DUMMYFUNCTION("""COMPUTED_VALUE"""),"GENEPIO:0001181")</f>
        <v>GENEPIO:0001181</v>
      </c>
      <c r="F25" s="29" t="str">
        <f>IFERROR(__xludf.DUMMYFUNCTION("""COMPUTED_VALUE"""),"The country where the sample was collected.")</f>
        <v>The country where the sample was collected.</v>
      </c>
      <c r="G25" s="29" t="str">
        <f>IFERROR(__xludf.DUMMYFUNCTION("""COMPUTED_VALUE"""),"Provide the country name from the controlled vocabulary provided.")</f>
        <v>Provide the country name from the controlled vocabulary provided.</v>
      </c>
      <c r="H25" s="29" t="str">
        <f>IFERROR(__xludf.DUMMYFUNCTION("""COMPUTED_VALUE"""),"United States of America [GAZ:00002459]")</f>
        <v>United States of America [GAZ:00002459]</v>
      </c>
      <c r="I25" s="29"/>
      <c r="J25" s="29"/>
      <c r="K25" s="30" t="s">
        <v>19</v>
      </c>
      <c r="L25" s="30" t="s">
        <v>19</v>
      </c>
      <c r="M25" s="30" t="s">
        <v>19</v>
      </c>
      <c r="N25" s="31" t="str">
        <f>IFERROR(__xludf.DUMMYFUNCTION("""COMPUTED_VALUE"""),"MpoxInternational")</f>
        <v>MpoxInternational</v>
      </c>
      <c r="O25" s="29"/>
      <c r="P25" s="29"/>
      <c r="Q25" s="29"/>
      <c r="R25" s="29"/>
      <c r="S25" s="29"/>
      <c r="T25" s="29"/>
      <c r="U25" s="29"/>
      <c r="V25" s="29"/>
      <c r="W25" s="29"/>
      <c r="X25" s="29"/>
      <c r="Y25" s="29"/>
      <c r="Z25" s="29"/>
      <c r="AA25" s="29"/>
      <c r="AB25" s="29"/>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t="str">
        <f>IFERROR(__xludf.DUMMYFUNCTION("""COMPUTED_VALUE"""),"GENEPIO:0001185")</f>
        <v>GENEPIO:0001185</v>
      </c>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0" t="s">
        <v>19</v>
      </c>
      <c r="L26" s="30" t="s">
        <v>19</v>
      </c>
      <c r="M26" s="30" t="s">
        <v>19</v>
      </c>
      <c r="N26" s="31" t="str">
        <f>IFERROR(__xludf.DUMMYFUNCTION("""COMPUTED_VALUE"""),"Mpox")</f>
        <v>Mpox</v>
      </c>
      <c r="O26" s="29"/>
      <c r="P26" s="29"/>
      <c r="Q26" s="29"/>
      <c r="R26" s="29"/>
      <c r="S26" s="29"/>
      <c r="T26" s="29"/>
      <c r="U26" s="29"/>
      <c r="V26" s="29"/>
      <c r="W26" s="29"/>
      <c r="X26" s="29"/>
      <c r="Y26" s="29"/>
      <c r="Z26" s="29"/>
      <c r="AA26" s="29"/>
      <c r="AB26" s="29"/>
    </row>
    <row r="27">
      <c r="A27" s="29" t="str">
        <f>IFERROR(__xludf.DUMMYFUNCTION("""COMPUTED_VALUE"""),"Sample collection and processing")</f>
        <v>Sample collection and processing</v>
      </c>
      <c r="B27" s="29" t="str">
        <f>IFERROR(__xludf.DUMMYFUNCTION("""COMPUTED_VALUE"""),"geo_loc_name (state/province/territory)")</f>
        <v>geo_loc_name (state/province/territory)</v>
      </c>
      <c r="C27" s="29" t="b">
        <f>IFERROR(__xludf.DUMMYFUNCTION("""COMPUTED_VALUE"""),TRUE)</f>
        <v>1</v>
      </c>
      <c r="D27" s="29" t="str">
        <f>IFERROR(__xludf.DUMMYFUNCTION("""COMPUTED_VALUE"""),"")</f>
        <v/>
      </c>
      <c r="E27" s="29" t="str">
        <f>IFERROR(__xludf.DUMMYFUNCTION("""COMPUTED_VALUE"""),"GENEPIO:0001185")</f>
        <v>GENEPIO:0001185</v>
      </c>
      <c r="F27" s="29" t="str">
        <f>IFERROR(__xludf.DUMMYFUNCTION("""COMPUTED_VALUE"""),"The state/province/territory where the sample was collected.")</f>
        <v>The state/province/territory where the sample was collected.</v>
      </c>
      <c r="G27" s="29" t="str">
        <f>IFERROR(__xludf.DUMMYFUNCTION("""COMPUTED_VALUE"""),"Provide the state/province/territory name from the controlled vocabulary provided.")</f>
        <v>Provide the state/province/territory name from the controlled vocabulary provided.</v>
      </c>
      <c r="H27" s="29" t="str">
        <f>IFERROR(__xludf.DUMMYFUNCTION("""COMPUTED_VALUE"""),"Saskatchewan")</f>
        <v>Saskatchewan</v>
      </c>
      <c r="I27" s="29"/>
      <c r="J27" s="29"/>
      <c r="K27" s="30" t="s">
        <v>19</v>
      </c>
      <c r="L27" s="30" t="s">
        <v>19</v>
      </c>
      <c r="M27" s="30" t="s">
        <v>19</v>
      </c>
      <c r="N27" s="31" t="str">
        <f>IFERROR(__xludf.DUMMYFUNCTION("""COMPUTED_VALUE"""),"MpoxInternational")</f>
        <v>MpoxInternational</v>
      </c>
      <c r="O27" s="29"/>
      <c r="P27" s="29"/>
      <c r="Q27" s="29"/>
      <c r="R27" s="29"/>
      <c r="S27" s="29"/>
      <c r="T27" s="29"/>
      <c r="U27" s="29"/>
      <c r="V27" s="29"/>
      <c r="W27" s="29"/>
      <c r="X27" s="29"/>
      <c r="Y27" s="29"/>
      <c r="Z27" s="29"/>
      <c r="AA27" s="29"/>
      <c r="AB27" s="29"/>
    </row>
    <row r="28">
      <c r="A28" s="29" t="str">
        <f>IFERROR(__xludf.DUMMYFUNCTION("""COMPUTED_VALUE"""),"Sample collection and processing")</f>
        <v>Sample collection and processing</v>
      </c>
      <c r="B28" s="29" t="str">
        <f>IFERROR(__xludf.DUMMYFUNCTION("""COMPUTED_VALUE"""),"geo_loc latitude")</f>
        <v>geo_loc latitude</v>
      </c>
      <c r="C28" s="29"/>
      <c r="D28" s="29"/>
      <c r="E28" s="29" t="str">
        <f>IFERROR(__xludf.DUMMYFUNCTION("""COMPUTED_VALUE"""),"GENEPIO:0100309")</f>
        <v>GENEPIO:0100309</v>
      </c>
      <c r="F28" s="29" t="str">
        <f>IFERROR(__xludf.DUMMYFUNCTION("""COMPUTED_VALUE"""),"The latitude coordinates of the geographical location of sample collection.")</f>
        <v>The latitude coordinates of the geographical location of sample collection.</v>
      </c>
      <c r="G28" s="29"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29" t="str">
        <f>IFERROR(__xludf.DUMMYFUNCTION("""COMPUTED_VALUE"""),"38.98 N")</f>
        <v>38.98 N</v>
      </c>
      <c r="I28" s="29"/>
      <c r="J28" s="29"/>
      <c r="K28" s="30" t="s">
        <v>19</v>
      </c>
      <c r="L28" s="30" t="s">
        <v>19</v>
      </c>
      <c r="M28" s="30" t="s">
        <v>19</v>
      </c>
      <c r="N28" s="31" t="str">
        <f>IFERROR(__xludf.DUMMYFUNCTION("""COMPUTED_VALUE"""),"MpoxInternational")</f>
        <v>MpoxInternational</v>
      </c>
      <c r="O28" s="29"/>
      <c r="P28" s="29"/>
      <c r="Q28" s="29"/>
      <c r="R28" s="29"/>
      <c r="S28" s="29"/>
      <c r="T28" s="29"/>
      <c r="U28" s="29"/>
      <c r="V28" s="29"/>
      <c r="W28" s="29"/>
      <c r="X28" s="29"/>
      <c r="Y28" s="29"/>
      <c r="Z28" s="29"/>
      <c r="AA28" s="29"/>
      <c r="AB28" s="29"/>
    </row>
    <row r="29">
      <c r="A29" s="29" t="str">
        <f>IFERROR(__xludf.DUMMYFUNCTION("""COMPUTED_VALUE"""),"Sample collection and processing")</f>
        <v>Sample collection and processing</v>
      </c>
      <c r="B29" s="29" t="str">
        <f>IFERROR(__xludf.DUMMYFUNCTION("""COMPUTED_VALUE"""),"geo_loc longitude")</f>
        <v>geo_loc longitude</v>
      </c>
      <c r="C29" s="29"/>
      <c r="D29" s="29"/>
      <c r="E29" s="29" t="str">
        <f>IFERROR(__xludf.DUMMYFUNCTION("""COMPUTED_VALUE"""),"GENEPIO:0100310")</f>
        <v>GENEPIO:0100310</v>
      </c>
      <c r="F29" s="29" t="str">
        <f>IFERROR(__xludf.DUMMYFUNCTION("""COMPUTED_VALUE"""),"The longitude coordinates of the geographical location of sample collection.")</f>
        <v>The longitude coordinates of the geographical location of sample collection.</v>
      </c>
      <c r="G29" s="29"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29" t="str">
        <f>IFERROR(__xludf.DUMMYFUNCTION("""COMPUTED_VALUE"""),"77.11 W")</f>
        <v>77.11 W</v>
      </c>
      <c r="I29" s="29"/>
      <c r="J29" s="29"/>
      <c r="K29" s="30" t="s">
        <v>19</v>
      </c>
      <c r="L29" s="30" t="s">
        <v>19</v>
      </c>
      <c r="M29" s="30" t="s">
        <v>19</v>
      </c>
      <c r="N29" s="31" t="str">
        <f>IFERROR(__xludf.DUMMYFUNCTION("""COMPUTED_VALUE"""),"MpoxInternational")</f>
        <v>MpoxInternational</v>
      </c>
      <c r="O29" s="29"/>
      <c r="P29" s="29"/>
      <c r="Q29" s="29"/>
      <c r="R29" s="29"/>
      <c r="S29" s="29"/>
      <c r="T29" s="29"/>
      <c r="U29" s="29"/>
      <c r="V29" s="29"/>
      <c r="W29" s="29"/>
      <c r="X29" s="29"/>
      <c r="Y29" s="29"/>
      <c r="Z29" s="29"/>
      <c r="AA29" s="29"/>
      <c r="AB29" s="29"/>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t="str">
        <f>IFERROR(__xludf.DUMMYFUNCTION("""COMPUTED_VALUE"""),"GENEPIO:0001191")</f>
        <v>GENEPIO:0001191</v>
      </c>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0" t="s">
        <v>19</v>
      </c>
      <c r="L30" s="30" t="s">
        <v>19</v>
      </c>
      <c r="M30" s="30" t="s">
        <v>19</v>
      </c>
      <c r="N30" s="31" t="str">
        <f>IFERROR(__xludf.DUMMYFUNCTION("""COMPUTED_VALUE"""),"Mpox")</f>
        <v>Mpox</v>
      </c>
      <c r="O30" s="29"/>
      <c r="P30" s="29"/>
      <c r="Q30" s="29"/>
      <c r="R30" s="29"/>
      <c r="S30" s="29"/>
      <c r="T30" s="29"/>
      <c r="U30" s="29"/>
      <c r="V30" s="29"/>
      <c r="W30" s="29"/>
      <c r="X30" s="29"/>
      <c r="Y30" s="29"/>
      <c r="Z30" s="29"/>
      <c r="AA30" s="29"/>
      <c r="AB30" s="29"/>
    </row>
    <row r="31">
      <c r="A31" s="29" t="str">
        <f>IFERROR(__xludf.DUMMYFUNCTION("""COMPUTED_VALUE"""),"Sample collection and processing")</f>
        <v>Sample collection and processing</v>
      </c>
      <c r="B31" s="29" t="str">
        <f>IFERROR(__xludf.DUMMYFUNCTION("""COMPUTED_VALUE"""),"organism")</f>
        <v>organism</v>
      </c>
      <c r="C31" s="29" t="b">
        <f>IFERROR(__xludf.DUMMYFUNCTION("""COMPUTED_VALUE"""),TRUE)</f>
        <v>1</v>
      </c>
      <c r="D31" s="29" t="str">
        <f>IFERROR(__xludf.DUMMYFUNCTION("""COMPUTED_VALUE"""),"")</f>
        <v/>
      </c>
      <c r="E31" s="29" t="str">
        <f>IFERROR(__xludf.DUMMYFUNCTION("""COMPUTED_VALUE"""),"GENEPIO:0001191")</f>
        <v>GENEPIO:0001191</v>
      </c>
      <c r="F31" s="29" t="str">
        <f>IFERROR(__xludf.DUMMYFUNCTION("""COMPUTED_VALUE"""),"Taxonomic name of the organism.")</f>
        <v>Taxonomic name of the organism.</v>
      </c>
      <c r="G31"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29" t="str">
        <f>IFERROR(__xludf.DUMMYFUNCTION("""COMPUTED_VALUE"""),"Mpox virus [NCBITaxon:10244]")</f>
        <v>Mpox virus [NCBITaxon:10244]</v>
      </c>
      <c r="I31" s="29"/>
      <c r="J31" s="29"/>
      <c r="K31" s="30" t="s">
        <v>19</v>
      </c>
      <c r="L31" s="30" t="s">
        <v>19</v>
      </c>
      <c r="M31" s="30" t="s">
        <v>19</v>
      </c>
      <c r="N31" s="31" t="str">
        <f>IFERROR(__xludf.DUMMYFUNCTION("""COMPUTED_VALUE"""),"MpoxInternational")</f>
        <v>MpoxInternational</v>
      </c>
      <c r="O31" s="29"/>
      <c r="P31" s="29"/>
      <c r="Q31" s="29"/>
      <c r="R31" s="29"/>
      <c r="S31" s="29"/>
      <c r="T31" s="29"/>
      <c r="U31" s="29"/>
      <c r="V31" s="29"/>
      <c r="W31" s="29"/>
      <c r="X31" s="29"/>
      <c r="Y31" s="29"/>
      <c r="Z31" s="29"/>
      <c r="AA31" s="29"/>
      <c r="AB31" s="29"/>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t="str">
        <f>IFERROR(__xludf.DUMMYFUNCTION("""COMPUTED_VALUE"""),"GENEPIO:0001195")</f>
        <v>GENEPIO:0001195</v>
      </c>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0" t="s">
        <v>19</v>
      </c>
      <c r="L32" s="30" t="s">
        <v>19</v>
      </c>
      <c r="M32" s="30" t="s">
        <v>19</v>
      </c>
      <c r="N32" s="31" t="str">
        <f>IFERROR(__xludf.DUMMYFUNCTION("""COMPUTED_VALUE"""),"Mpox")</f>
        <v>Mpox</v>
      </c>
      <c r="O32" s="29"/>
      <c r="P32" s="29"/>
      <c r="Q32" s="29"/>
      <c r="R32" s="29"/>
      <c r="S32" s="29"/>
      <c r="T32" s="29"/>
      <c r="U32" s="29"/>
      <c r="V32" s="29"/>
      <c r="W32" s="29"/>
      <c r="X32" s="29"/>
      <c r="Y32" s="29"/>
      <c r="Z32" s="29"/>
      <c r="AA32" s="29"/>
      <c r="AB32" s="29"/>
    </row>
    <row r="33">
      <c r="A33" s="29" t="str">
        <f>IFERROR(__xludf.DUMMYFUNCTION("""COMPUTED_VALUE"""),"Sample collection and processing")</f>
        <v>Sample collection and processing</v>
      </c>
      <c r="B33" s="29" t="str">
        <f>IFERROR(__xludf.DUMMYFUNCTION("""COMPUTED_VALUE"""),"isolate")</f>
        <v>isolate</v>
      </c>
      <c r="C33" s="29" t="b">
        <f>IFERROR(__xludf.DUMMYFUNCTION("""COMPUTED_VALUE"""),TRUE)</f>
        <v>1</v>
      </c>
      <c r="D33" s="29"/>
      <c r="E33" s="29" t="str">
        <f>IFERROR(__xludf.DUMMYFUNCTION("""COMPUTED_VALUE"""),"GENEPIO:0001644")</f>
        <v>GENEPIO:0001644</v>
      </c>
      <c r="F33" s="29" t="str">
        <f>IFERROR(__xludf.DUMMYFUNCTION("""COMPUTED_VALUE"""),"Identifier of the specific isolate.")</f>
        <v>Identifier of the specific isolate.</v>
      </c>
      <c r="G33" s="29"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29" t="str">
        <f>IFERROR(__xludf.DUMMYFUNCTION("""COMPUTED_VALUE"""),"MpxV/human/USA/CA-CDPH-001/2020")</f>
        <v>MpxV/human/USA/CA-CDPH-001/2020</v>
      </c>
      <c r="I33" s="29"/>
      <c r="J33" s="29"/>
      <c r="K33" s="30" t="s">
        <v>19</v>
      </c>
      <c r="L33" s="30" t="s">
        <v>19</v>
      </c>
      <c r="M33" s="30" t="s">
        <v>19</v>
      </c>
      <c r="N33" s="36" t="str">
        <f>IFERROR(__xludf.DUMMYFUNCTION("""COMPUTED_VALUE"""),"MpoxInternational")</f>
        <v>MpoxInternational</v>
      </c>
      <c r="O33" s="29"/>
      <c r="P33" s="29"/>
      <c r="Q33" s="29"/>
      <c r="R33" s="29"/>
      <c r="S33" s="29"/>
      <c r="T33" s="29"/>
      <c r="U33" s="29"/>
      <c r="V33" s="29"/>
      <c r="W33" s="29"/>
      <c r="X33" s="29"/>
      <c r="Y33" s="29"/>
      <c r="Z33" s="29"/>
      <c r="AA33" s="29"/>
      <c r="AB33" s="29"/>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t="str">
        <f>IFERROR(__xludf.DUMMYFUNCTION("""COMPUTED_VALUE"""),"GENEPIO:0001198")</f>
        <v>GENEPIO:0001198</v>
      </c>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0" t="s">
        <v>19</v>
      </c>
      <c r="L34" s="30" t="s">
        <v>19</v>
      </c>
      <c r="M34" s="30" t="s">
        <v>19</v>
      </c>
      <c r="N34" s="31" t="str">
        <f>IFERROR(__xludf.DUMMYFUNCTION("""COMPUTED_VALUE"""),"Mpox")</f>
        <v>Mpox</v>
      </c>
      <c r="O34" s="29"/>
      <c r="P34" s="29"/>
      <c r="Q34" s="29"/>
      <c r="R34" s="29"/>
      <c r="S34" s="29"/>
      <c r="T34" s="29"/>
      <c r="U34" s="29"/>
      <c r="V34" s="29"/>
      <c r="W34" s="29"/>
      <c r="X34" s="29"/>
      <c r="Y34" s="29"/>
      <c r="Z34" s="29"/>
      <c r="AA34" s="29"/>
      <c r="AB34" s="29"/>
    </row>
    <row r="35">
      <c r="A35" s="29" t="str">
        <f>IFERROR(__xludf.DUMMYFUNCTION("""COMPUTED_VALUE"""),"Sample collection and processing")</f>
        <v>Sample collection and processing</v>
      </c>
      <c r="B35" s="29" t="str">
        <f>IFERROR(__xludf.DUMMYFUNCTION("""COMPUTED_VALUE"""),"purpose of sampling")</f>
        <v>purpose of sampling</v>
      </c>
      <c r="C35" s="29" t="b">
        <f>IFERROR(__xludf.DUMMYFUNCTION("""COMPUTED_VALUE"""),TRUE)</f>
        <v>1</v>
      </c>
      <c r="D35" s="29" t="str">
        <f>IFERROR(__xludf.DUMMYFUNCTION("""COMPUTED_VALUE"""),"")</f>
        <v/>
      </c>
      <c r="E35" s="29" t="str">
        <f>IFERROR(__xludf.DUMMYFUNCTION("""COMPUTED_VALUE"""),"GENEPIO:0001198")</f>
        <v>GENEPIO:0001198</v>
      </c>
      <c r="F35" s="29" t="str">
        <f>IFERROR(__xludf.DUMMYFUNCTION("""COMPUTED_VALUE"""),"The reason that the sample was collected.")</f>
        <v>The reason that the sample was collected.</v>
      </c>
      <c r="G35"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29" t="str">
        <f>IFERROR(__xludf.DUMMYFUNCTION("""COMPUTED_VALUE"""),"Diagnostic testing [GENEPIO:0100002]")</f>
        <v>Diagnostic testing [GENEPIO:0100002]</v>
      </c>
      <c r="I35" s="29"/>
      <c r="J35" s="29"/>
      <c r="K35" s="30" t="s">
        <v>19</v>
      </c>
      <c r="L35" s="30" t="s">
        <v>19</v>
      </c>
      <c r="M35" s="30" t="s">
        <v>19</v>
      </c>
      <c r="N35" s="31" t="str">
        <f>IFERROR(__xludf.DUMMYFUNCTION("""COMPUTED_VALUE"""),"MpoxInternational")</f>
        <v>MpoxInternational</v>
      </c>
      <c r="O35" s="29"/>
      <c r="P35" s="29"/>
      <c r="Q35" s="29"/>
      <c r="R35" s="29"/>
      <c r="S35" s="29"/>
      <c r="T35" s="29"/>
      <c r="U35" s="29"/>
      <c r="V35" s="29"/>
      <c r="W35" s="29"/>
      <c r="X35" s="29"/>
      <c r="Y35" s="29"/>
      <c r="Z35" s="29"/>
      <c r="AA35" s="29"/>
      <c r="AB35" s="29"/>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t="str">
        <f>IFERROR(__xludf.DUMMYFUNCTION("""COMPUTED_VALUE"""),"GENEPIO:0001200")</f>
        <v>GENEPIO:0001200</v>
      </c>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0" t="s">
        <v>19</v>
      </c>
      <c r="L36" s="30" t="s">
        <v>19</v>
      </c>
      <c r="M36" s="30" t="s">
        <v>19</v>
      </c>
      <c r="N36" s="31" t="str">
        <f>IFERROR(__xludf.DUMMYFUNCTION("""COMPUTED_VALUE"""),"Mpox;MpoxInternational")</f>
        <v>Mpox;MpoxInternational</v>
      </c>
      <c r="O36" s="29"/>
      <c r="P36" s="29"/>
      <c r="Q36" s="29"/>
      <c r="R36" s="29"/>
      <c r="S36" s="29"/>
      <c r="T36" s="29"/>
      <c r="U36" s="29"/>
      <c r="V36" s="29"/>
      <c r="W36" s="29"/>
      <c r="X36" s="29"/>
      <c r="Y36" s="29"/>
      <c r="Z36" s="29"/>
      <c r="AA36" s="29"/>
      <c r="AB36" s="29"/>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t="str">
        <f>IFERROR(__xludf.DUMMYFUNCTION("""COMPUTED_VALUE"""),"GENEPIO:0001204")</f>
        <v>GENEPIO:0001204</v>
      </c>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0" t="s">
        <v>19</v>
      </c>
      <c r="L37" s="30" t="s">
        <v>19</v>
      </c>
      <c r="M37" s="30" t="s">
        <v>19</v>
      </c>
      <c r="N37" s="32" t="str">
        <f>IFERROR(__xludf.DUMMYFUNCTION("""COMPUTED_VALUE"""),"Mpox")</f>
        <v>Mpox</v>
      </c>
      <c r="O37" s="29"/>
      <c r="P37" s="29"/>
      <c r="Q37" s="29"/>
      <c r="R37" s="29"/>
      <c r="S37" s="29"/>
      <c r="T37" s="29"/>
      <c r="U37" s="29"/>
      <c r="V37" s="29"/>
      <c r="W37" s="29"/>
      <c r="X37" s="29"/>
      <c r="Y37" s="29"/>
      <c r="Z37" s="29"/>
      <c r="AA37" s="29"/>
      <c r="AB37" s="29"/>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t="str">
        <f>IFERROR(__xludf.DUMMYFUNCTION("""COMPUTED_VALUE"""),"GENEPIO:0001209")</f>
        <v>GENEPIO:0001209</v>
      </c>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0" t="s">
        <v>19</v>
      </c>
      <c r="L38" s="30" t="s">
        <v>19</v>
      </c>
      <c r="M38" s="30" t="s">
        <v>19</v>
      </c>
      <c r="N38" s="32" t="str">
        <f>IFERROR(__xludf.DUMMYFUNCTION("""COMPUTED_VALUE"""),"Mpox")</f>
        <v>Mpox</v>
      </c>
      <c r="O38" s="29"/>
      <c r="P38" s="29"/>
      <c r="Q38" s="29"/>
      <c r="R38" s="29"/>
      <c r="S38" s="29"/>
      <c r="T38" s="29"/>
      <c r="U38" s="29"/>
      <c r="V38" s="29"/>
      <c r="W38" s="29"/>
      <c r="X38" s="29"/>
      <c r="Y38" s="29"/>
      <c r="Z38" s="29"/>
      <c r="AA38" s="29"/>
      <c r="AB38" s="29"/>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t="str">
        <f>IFERROR(__xludf.DUMMYFUNCTION("""COMPUTED_VALUE"""),"GENEPIO:0001211")</f>
        <v>GENEPIO:0001211</v>
      </c>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0" t="s">
        <v>19</v>
      </c>
      <c r="L39" s="30" t="s">
        <v>19</v>
      </c>
      <c r="M39" s="30" t="s">
        <v>19</v>
      </c>
      <c r="N39" s="31" t="str">
        <f>IFERROR(__xludf.DUMMYFUNCTION("""COMPUTED_VALUE"""),"Mpox")</f>
        <v>Mpox</v>
      </c>
      <c r="O39" s="29"/>
      <c r="P39" s="29"/>
      <c r="Q39" s="29"/>
      <c r="R39" s="29"/>
      <c r="S39" s="29"/>
      <c r="T39" s="29"/>
      <c r="U39" s="29"/>
      <c r="V39" s="29"/>
      <c r="W39" s="29"/>
      <c r="X39" s="29"/>
      <c r="Y39" s="29"/>
      <c r="Z39" s="29"/>
      <c r="AA39" s="29"/>
      <c r="AB39" s="29"/>
    </row>
    <row r="40">
      <c r="A40" s="29" t="str">
        <f>IFERROR(__xludf.DUMMYFUNCTION("""COMPUTED_VALUE"""),"Sample collection and processing")</f>
        <v>Sample collection and processing</v>
      </c>
      <c r="B40" s="29" t="str">
        <f>IFERROR(__xludf.DUMMYFUNCTION("""COMPUTED_VALUE"""),"anatomical material")</f>
        <v>anatomical material</v>
      </c>
      <c r="C40" s="29" t="str">
        <f>IFERROR(__xludf.DUMMYFUNCTION("""COMPUTED_VALUE"""),"")</f>
        <v/>
      </c>
      <c r="D40" s="29" t="b">
        <f>IFERROR(__xludf.DUMMYFUNCTION("""COMPUTED_VALUE"""),TRUE)</f>
        <v>1</v>
      </c>
      <c r="E40" s="29" t="str">
        <f>IFERROR(__xludf.DUMMYFUNCTION("""COMPUTED_VALUE"""),"GENEPIO:0001211")</f>
        <v>GENEPIO:0001211</v>
      </c>
      <c r="F40" s="29" t="str">
        <f>IFERROR(__xludf.DUMMYFUNCTION("""COMPUTED_VALUE"""),"A substance obtained from an anatomical part of an organism e.g. tissue, blood.")</f>
        <v>A substance obtained from an anatomical part of an organism e.g. tissue, blood.</v>
      </c>
      <c r="G40"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29" t="str">
        <f>IFERROR(__xludf.DUMMYFUNCTION("""COMPUTED_VALUE"""),"Lesion (Pustule) [NCIT:C78582]")</f>
        <v>Lesion (Pustule) [NCIT:C78582]</v>
      </c>
      <c r="I40" s="29"/>
      <c r="J40" s="29"/>
      <c r="K40" s="30" t="s">
        <v>19</v>
      </c>
      <c r="L40" s="30" t="s">
        <v>19</v>
      </c>
      <c r="M40" s="30" t="s">
        <v>19</v>
      </c>
      <c r="N40" s="31" t="str">
        <f>IFERROR(__xludf.DUMMYFUNCTION("""COMPUTED_VALUE"""),"MpoxInternational")</f>
        <v>MpoxInternational</v>
      </c>
      <c r="O40" s="29"/>
      <c r="P40" s="29"/>
      <c r="Q40" s="29"/>
      <c r="R40" s="29"/>
      <c r="S40" s="29"/>
      <c r="T40" s="29"/>
      <c r="U40" s="29"/>
      <c r="V40" s="29"/>
      <c r="W40" s="29"/>
      <c r="X40" s="29"/>
      <c r="Y40" s="29"/>
      <c r="Z40" s="29"/>
      <c r="AA40" s="29"/>
      <c r="AB40" s="29"/>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t="str">
        <f>IFERROR(__xludf.DUMMYFUNCTION("""COMPUTED_VALUE"""),"GENEPIO:0001214")</f>
        <v>GENEPIO:0001214</v>
      </c>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0" t="s">
        <v>19</v>
      </c>
      <c r="L41" s="30" t="s">
        <v>19</v>
      </c>
      <c r="M41" s="30" t="s">
        <v>19</v>
      </c>
      <c r="N41" s="31" t="str">
        <f>IFERROR(__xludf.DUMMYFUNCTION("""COMPUTED_VALUE"""),"Mpox")</f>
        <v>Mpox</v>
      </c>
      <c r="O41" s="29"/>
      <c r="P41" s="29"/>
      <c r="Q41" s="29"/>
      <c r="R41" s="29"/>
      <c r="S41" s="29"/>
      <c r="T41" s="29"/>
      <c r="U41" s="29"/>
      <c r="V41" s="29"/>
      <c r="W41" s="29"/>
      <c r="X41" s="29"/>
      <c r="Y41" s="29"/>
      <c r="Z41" s="29"/>
      <c r="AA41" s="29"/>
      <c r="AB41" s="29"/>
    </row>
    <row r="42">
      <c r="A42" s="29" t="str">
        <f>IFERROR(__xludf.DUMMYFUNCTION("""COMPUTED_VALUE"""),"Sample collection and processing")</f>
        <v>Sample collection and processing</v>
      </c>
      <c r="B42" s="29" t="str">
        <f>IFERROR(__xludf.DUMMYFUNCTION("""COMPUTED_VALUE"""),"anatomical part")</f>
        <v>anatomical part</v>
      </c>
      <c r="C42" s="29" t="str">
        <f>IFERROR(__xludf.DUMMYFUNCTION("""COMPUTED_VALUE"""),"")</f>
        <v/>
      </c>
      <c r="D42" s="29" t="b">
        <f>IFERROR(__xludf.DUMMYFUNCTION("""COMPUTED_VALUE"""),TRUE)</f>
        <v>1</v>
      </c>
      <c r="E42" s="29" t="str">
        <f>IFERROR(__xludf.DUMMYFUNCTION("""COMPUTED_VALUE"""),"GENEPIO:0001214")</f>
        <v>GENEPIO:0001214</v>
      </c>
      <c r="F42" s="29" t="str">
        <f>IFERROR(__xludf.DUMMYFUNCTION("""COMPUTED_VALUE"""),"An anatomical part of an organism e.g. oropharynx.")</f>
        <v>An anatomical part of an organism e.g. oropharynx.</v>
      </c>
      <c r="G42"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29" t="str">
        <f>IFERROR(__xludf.DUMMYFUNCTION("""COMPUTED_VALUE"""),"Genital area [BTO:0003358]")</f>
        <v>Genital area [BTO:0003358]</v>
      </c>
      <c r="I42" s="29"/>
      <c r="J42" s="29"/>
      <c r="K42" s="30" t="s">
        <v>19</v>
      </c>
      <c r="L42" s="30" t="s">
        <v>19</v>
      </c>
      <c r="M42" s="30" t="s">
        <v>19</v>
      </c>
      <c r="N42" s="31" t="str">
        <f>IFERROR(__xludf.DUMMYFUNCTION("""COMPUTED_VALUE"""),"MpoxInternational")</f>
        <v>MpoxInternational</v>
      </c>
      <c r="O42" s="29"/>
      <c r="P42" s="29"/>
      <c r="Q42" s="29"/>
      <c r="R42" s="29"/>
      <c r="S42" s="29"/>
      <c r="T42" s="29"/>
      <c r="U42" s="29"/>
      <c r="V42" s="29"/>
      <c r="W42" s="29"/>
      <c r="X42" s="29"/>
      <c r="Y42" s="29"/>
      <c r="Z42" s="29"/>
      <c r="AA42" s="29"/>
      <c r="AB42" s="29"/>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t="str">
        <f>IFERROR(__xludf.DUMMYFUNCTION("""COMPUTED_VALUE"""),"GENEPIO:0001216")</f>
        <v>GENEPIO:0001216</v>
      </c>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0" t="s">
        <v>19</v>
      </c>
      <c r="L43" s="30" t="s">
        <v>19</v>
      </c>
      <c r="M43" s="30" t="s">
        <v>19</v>
      </c>
      <c r="N43" s="31" t="str">
        <f>IFERROR(__xludf.DUMMYFUNCTION("""COMPUTED_VALUE"""),"Mpox")</f>
        <v>Mpox</v>
      </c>
      <c r="O43" s="29"/>
      <c r="P43" s="29"/>
      <c r="Q43" s="29"/>
      <c r="R43" s="29"/>
      <c r="S43" s="29"/>
      <c r="T43" s="29"/>
      <c r="U43" s="29"/>
      <c r="V43" s="29"/>
      <c r="W43" s="29"/>
      <c r="X43" s="29"/>
      <c r="Y43" s="29"/>
      <c r="Z43" s="29"/>
      <c r="AA43" s="29"/>
      <c r="AB43" s="29"/>
    </row>
    <row r="44">
      <c r="A44" s="29" t="str">
        <f>IFERROR(__xludf.DUMMYFUNCTION("""COMPUTED_VALUE"""),"Sample collection and processing")</f>
        <v>Sample collection and processing</v>
      </c>
      <c r="B44" s="29" t="str">
        <f>IFERROR(__xludf.DUMMYFUNCTION("""COMPUTED_VALUE"""),"body product")</f>
        <v>body product</v>
      </c>
      <c r="C44" s="29" t="str">
        <f>IFERROR(__xludf.DUMMYFUNCTION("""COMPUTED_VALUE"""),"")</f>
        <v/>
      </c>
      <c r="D44" s="29" t="b">
        <f>IFERROR(__xludf.DUMMYFUNCTION("""COMPUTED_VALUE"""),TRUE)</f>
        <v>1</v>
      </c>
      <c r="E44" s="29" t="str">
        <f>IFERROR(__xludf.DUMMYFUNCTION("""COMPUTED_VALUE"""),"GENEPIO:0001216")</f>
        <v>GENEPIO:0001216</v>
      </c>
      <c r="F44" s="29" t="str">
        <f>IFERROR(__xludf.DUMMYFUNCTION("""COMPUTED_VALUE"""),"A substance excreted/secreted from an organism e.g. feces, urine, sweat.")</f>
        <v>A substance excreted/secreted from an organism e.g. feces, urine, sweat.</v>
      </c>
      <c r="G44"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29" t="str">
        <f>IFERROR(__xludf.DUMMYFUNCTION("""COMPUTED_VALUE"""),"Pus [UBERON:0000177]")</f>
        <v>Pus [UBERON:0000177]</v>
      </c>
      <c r="I44" s="29"/>
      <c r="J44" s="29"/>
      <c r="K44" s="30" t="s">
        <v>19</v>
      </c>
      <c r="L44" s="30" t="s">
        <v>19</v>
      </c>
      <c r="M44" s="30" t="s">
        <v>19</v>
      </c>
      <c r="N44" s="31" t="str">
        <f>IFERROR(__xludf.DUMMYFUNCTION("""COMPUTED_VALUE"""),"MpoxInternational")</f>
        <v>MpoxInternational</v>
      </c>
      <c r="O44" s="29"/>
      <c r="P44" s="29"/>
      <c r="Q44" s="29"/>
      <c r="R44" s="29"/>
      <c r="S44" s="29"/>
      <c r="T44" s="29"/>
      <c r="U44" s="29"/>
      <c r="V44" s="29"/>
      <c r="W44" s="29"/>
      <c r="X44" s="29"/>
      <c r="Y44" s="29"/>
      <c r="Z44" s="29"/>
      <c r="AA44" s="29"/>
      <c r="AB44" s="29"/>
    </row>
    <row r="45">
      <c r="A45" s="29" t="str">
        <f>IFERROR(__xludf.DUMMYFUNCTION("""COMPUTED_VALUE"""),"Sample collection and processing")</f>
        <v>Sample collection and processing</v>
      </c>
      <c r="B45" s="29" t="str">
        <f>IFERROR(__xludf.DUMMYFUNCTION("""COMPUTED_VALUE"""),"environmental material")</f>
        <v>environmental material</v>
      </c>
      <c r="C45" s="29"/>
      <c r="D45" s="29" t="b">
        <f>IFERROR(__xludf.DUMMYFUNCTION("""COMPUTED_VALUE"""),TRUE)</f>
        <v>1</v>
      </c>
      <c r="E45" s="29" t="str">
        <f>IFERROR(__xludf.DUMMYFUNCTION("""COMPUTED_VALUE"""),"GENEPIO:0001223")</f>
        <v>GENEPIO:0001223</v>
      </c>
      <c r="F45" s="29" t="str">
        <f>IFERROR(__xludf.DUMMYFUNCTION("""COMPUTED_VALUE"""),"A substance obtained from the natural or man-made environment e.g. soil, water, sewage.")</f>
        <v>A substance obtained from the natural or man-made environment e.g. soil, water, sewage.</v>
      </c>
      <c r="G45" s="29"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29" t="str">
        <f>IFERROR(__xludf.DUMMYFUNCTION("""COMPUTED_VALUE"""),"Bed linen")</f>
        <v>Bed linen</v>
      </c>
      <c r="I45" s="29"/>
      <c r="J45" s="29"/>
      <c r="K45" s="30" t="s">
        <v>19</v>
      </c>
      <c r="L45" s="30" t="s">
        <v>19</v>
      </c>
      <c r="M45" s="30" t="s">
        <v>19</v>
      </c>
      <c r="N45" s="31" t="str">
        <f>IFERROR(__xludf.DUMMYFUNCTION("""COMPUTED_VALUE"""),"MpoxInternational")</f>
        <v>MpoxInternational</v>
      </c>
      <c r="O45" s="29"/>
      <c r="P45" s="29"/>
      <c r="Q45" s="29"/>
      <c r="R45" s="29"/>
      <c r="S45" s="29"/>
      <c r="T45" s="29"/>
      <c r="U45" s="29"/>
      <c r="V45" s="29"/>
      <c r="W45" s="29"/>
      <c r="X45" s="29"/>
      <c r="Y45" s="29"/>
      <c r="Z45" s="29"/>
      <c r="AA45" s="29"/>
      <c r="AB45" s="29"/>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t="str">
        <f>IFERROR(__xludf.DUMMYFUNCTION("""COMPUTED_VALUE"""),"GENEPIO:0001234")</f>
        <v>GENEPIO:0001234</v>
      </c>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0" t="s">
        <v>19</v>
      </c>
      <c r="L46" s="30" t="s">
        <v>19</v>
      </c>
      <c r="M46" s="30" t="s">
        <v>19</v>
      </c>
      <c r="N46" s="31" t="str">
        <f>IFERROR(__xludf.DUMMYFUNCTION("""COMPUTED_VALUE"""),"Mpox")</f>
        <v>Mpox</v>
      </c>
      <c r="O46" s="29"/>
      <c r="P46" s="29"/>
      <c r="Q46" s="29"/>
      <c r="R46" s="29"/>
      <c r="S46" s="29"/>
      <c r="T46" s="29"/>
      <c r="U46" s="29"/>
      <c r="V46" s="29"/>
      <c r="W46" s="29"/>
      <c r="X46" s="29"/>
      <c r="Y46" s="29"/>
      <c r="Z46" s="29"/>
      <c r="AA46" s="29"/>
      <c r="AB46" s="29"/>
    </row>
    <row r="47">
      <c r="A47" s="29" t="str">
        <f>IFERROR(__xludf.DUMMYFUNCTION("""COMPUTED_VALUE"""),"Sample collection and processing")</f>
        <v>Sample collection and processing</v>
      </c>
      <c r="B47" s="29" t="str">
        <f>IFERROR(__xludf.DUMMYFUNCTION("""COMPUTED_VALUE"""),"collection device")</f>
        <v>collection device</v>
      </c>
      <c r="C47" s="29" t="str">
        <f>IFERROR(__xludf.DUMMYFUNCTION("""COMPUTED_VALUE"""),"")</f>
        <v/>
      </c>
      <c r="D47" s="29" t="b">
        <f>IFERROR(__xludf.DUMMYFUNCTION("""COMPUTED_VALUE"""),TRUE)</f>
        <v>1</v>
      </c>
      <c r="E47" s="29" t="str">
        <f>IFERROR(__xludf.DUMMYFUNCTION("""COMPUTED_VALUE"""),"GENEPIO:0001234")</f>
        <v>GENEPIO:0001234</v>
      </c>
      <c r="F47" s="29" t="str">
        <f>IFERROR(__xludf.DUMMYFUNCTION("""COMPUTED_VALUE"""),"The instrument or container used to collect the sample e.g. swab.")</f>
        <v>The instrument or container used to collect the sample e.g. swab.</v>
      </c>
      <c r="G47"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29" t="str">
        <f>IFERROR(__xludf.DUMMYFUNCTION("""COMPUTED_VALUE"""),"Swab [GENEPIO:0100027]")</f>
        <v>Swab [GENEPIO:0100027]</v>
      </c>
      <c r="I47" s="29"/>
      <c r="J47" s="29"/>
      <c r="K47" s="30" t="s">
        <v>19</v>
      </c>
      <c r="L47" s="30" t="s">
        <v>19</v>
      </c>
      <c r="M47" s="30" t="s">
        <v>19</v>
      </c>
      <c r="N47" s="31" t="str">
        <f>IFERROR(__xludf.DUMMYFUNCTION("""COMPUTED_VALUE"""),"MpoxInternational")</f>
        <v>MpoxInternational</v>
      </c>
      <c r="O47" s="29"/>
      <c r="P47" s="29"/>
      <c r="Q47" s="29"/>
      <c r="R47" s="29"/>
      <c r="S47" s="29"/>
      <c r="T47" s="29"/>
      <c r="U47" s="29"/>
      <c r="V47" s="29"/>
      <c r="W47" s="29"/>
      <c r="X47" s="29"/>
      <c r="Y47" s="29"/>
      <c r="Z47" s="29"/>
      <c r="AA47" s="29"/>
      <c r="AB47" s="29"/>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t="str">
        <f>IFERROR(__xludf.DUMMYFUNCTION("""COMPUTED_VALUE"""),"GENEPIO:0001241")</f>
        <v>GENEPIO:0001241</v>
      </c>
      <c r="F48" s="29" t="str">
        <f>IFERROR(__xludf.DUMMYFUNCTION("""COMPUTED_VALUE"""),"The process used to collect the sample e.g. phlebotomy, necropsy.")</f>
        <v>The process used to collect the sample e.g. phlebotomy,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0" t="s">
        <v>19</v>
      </c>
      <c r="L48" s="30" t="s">
        <v>19</v>
      </c>
      <c r="M48" s="30" t="s">
        <v>19</v>
      </c>
      <c r="N48" s="31" t="str">
        <f>IFERROR(__xludf.DUMMYFUNCTION("""COMPUTED_VALUE"""),"Mpox")</f>
        <v>Mpox</v>
      </c>
      <c r="O48" s="29"/>
      <c r="P48" s="29"/>
      <c r="Q48" s="29"/>
      <c r="R48" s="29"/>
      <c r="S48" s="29"/>
      <c r="T48" s="29"/>
      <c r="U48" s="29"/>
      <c r="V48" s="29"/>
      <c r="W48" s="29"/>
      <c r="X48" s="29"/>
      <c r="Y48" s="29"/>
      <c r="Z48" s="29"/>
      <c r="AA48" s="29"/>
      <c r="AB48" s="29"/>
    </row>
    <row r="49">
      <c r="A49" s="29" t="str">
        <f>IFERROR(__xludf.DUMMYFUNCTION("""COMPUTED_VALUE"""),"Sample collection and processing")</f>
        <v>Sample collection and processing</v>
      </c>
      <c r="B49" s="29" t="str">
        <f>IFERROR(__xludf.DUMMYFUNCTION("""COMPUTED_VALUE"""),"collection method")</f>
        <v>collection method</v>
      </c>
      <c r="C49" s="29" t="str">
        <f>IFERROR(__xludf.DUMMYFUNCTION("""COMPUTED_VALUE"""),"")</f>
        <v/>
      </c>
      <c r="D49" s="29" t="b">
        <f>IFERROR(__xludf.DUMMYFUNCTION("""COMPUTED_VALUE"""),TRUE)</f>
        <v>1</v>
      </c>
      <c r="E49" s="29" t="str">
        <f>IFERROR(__xludf.DUMMYFUNCTION("""COMPUTED_VALUE"""),"GENEPIO:0001241")</f>
        <v>GENEPIO:0001241</v>
      </c>
      <c r="F49" s="29" t="str">
        <f>IFERROR(__xludf.DUMMYFUNCTION("""COMPUTED_VALUE"""),"The process used to collect the sample e.g. phlebotomy, necropsy.")</f>
        <v>The process used to collect the sample e.g. phlebotomy, necropsy.</v>
      </c>
      <c r="G49"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29" t="str">
        <f>IFERROR(__xludf.DUMMYFUNCTION("""COMPUTED_VALUE"""),"Biopsy [OBI:0002650]")</f>
        <v>Biopsy [OBI:0002650]</v>
      </c>
      <c r="I49" s="29"/>
      <c r="J49" s="29"/>
      <c r="K49" s="30" t="s">
        <v>19</v>
      </c>
      <c r="L49" s="30" t="s">
        <v>19</v>
      </c>
      <c r="M49" s="30" t="s">
        <v>19</v>
      </c>
      <c r="N49" s="31" t="str">
        <f>IFERROR(__xludf.DUMMYFUNCTION("""COMPUTED_VALUE"""),"MpoxInternational")</f>
        <v>MpoxInternational</v>
      </c>
      <c r="O49" s="29"/>
      <c r="P49" s="29"/>
      <c r="Q49" s="29"/>
      <c r="R49" s="29"/>
      <c r="S49" s="29"/>
      <c r="T49" s="29"/>
      <c r="U49" s="29"/>
      <c r="V49" s="29"/>
      <c r="W49" s="29"/>
      <c r="X49" s="29"/>
      <c r="Y49" s="29"/>
      <c r="Z49" s="29"/>
      <c r="AA49" s="29"/>
      <c r="AB49" s="29"/>
    </row>
    <row r="50">
      <c r="A50" s="29" t="str">
        <f>IFERROR(__xludf.DUMMYFUNCTION("""COMPUTED_VALUE"""),"Sample collection and processing")</f>
        <v>Sample collection and processing</v>
      </c>
      <c r="B50" s="29" t="str">
        <f>IFERROR(__xludf.DUMMYFUNCTION("""COMPUTED_VALUE"""),"specimen processing")</f>
        <v>specimen processing</v>
      </c>
      <c r="C50" s="29"/>
      <c r="D50" s="29"/>
      <c r="E50" s="29" t="str">
        <f>IFERROR(__xludf.DUMMYFUNCTION("""COMPUTED_VALUE"""),"GENEPIO:0001253")</f>
        <v>GENEPIO:0001253</v>
      </c>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0" t="s">
        <v>19</v>
      </c>
      <c r="L50" s="30" t="s">
        <v>19</v>
      </c>
      <c r="M50" s="30" t="s">
        <v>19</v>
      </c>
      <c r="N50" s="31" t="str">
        <f>IFERROR(__xludf.DUMMYFUNCTION("""COMPUTED_VALUE"""),"Mpox")</f>
        <v>Mpox</v>
      </c>
      <c r="O50" s="29"/>
      <c r="P50" s="29"/>
      <c r="Q50" s="29"/>
      <c r="R50" s="29"/>
      <c r="S50" s="29"/>
      <c r="T50" s="29"/>
      <c r="U50" s="29"/>
      <c r="V50" s="29"/>
      <c r="W50" s="29"/>
      <c r="X50" s="29"/>
      <c r="Y50" s="29"/>
      <c r="Z50" s="29"/>
      <c r="AA50" s="29"/>
      <c r="AB50" s="29"/>
    </row>
    <row r="51">
      <c r="A51" s="29" t="str">
        <f>IFERROR(__xludf.DUMMYFUNCTION("""COMPUTED_VALUE"""),"Sample collection and processing")</f>
        <v>Sample collection and processing</v>
      </c>
      <c r="B51" s="29" t="str">
        <f>IFERROR(__xludf.DUMMYFUNCTION("""COMPUTED_VALUE"""),"specimen processing")</f>
        <v>specimen processing</v>
      </c>
      <c r="C51" s="29"/>
      <c r="D51" s="29"/>
      <c r="E51" s="29" t="str">
        <f>IFERROR(__xludf.DUMMYFUNCTION("""COMPUTED_VALUE"""),"GENEPIO:0001253")</f>
        <v>GENEPIO:0001253</v>
      </c>
      <c r="F51" s="29" t="str">
        <f>IFERROR(__xludf.DUMMYFUNCTION("""COMPUTED_VALUE"""),"Any processing applied to the sample during or after receiving the sample.")</f>
        <v>Any processing applied to the sample during or after receiving the sample.</v>
      </c>
      <c r="G51"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29" t="str">
        <f>IFERROR(__xludf.DUMMYFUNCTION("""COMPUTED_VALUE"""),"Specimens pooled [OBI:0600016]")</f>
        <v>Specimens pooled [OBI:0600016]</v>
      </c>
      <c r="I51" s="29"/>
      <c r="J51" s="29"/>
      <c r="K51" s="30" t="s">
        <v>19</v>
      </c>
      <c r="L51" s="30" t="s">
        <v>19</v>
      </c>
      <c r="M51" s="30" t="s">
        <v>19</v>
      </c>
      <c r="N51" s="31" t="str">
        <f>IFERROR(__xludf.DUMMYFUNCTION("""COMPUTED_VALUE"""),"MpoxInternational")</f>
        <v>MpoxInternational</v>
      </c>
      <c r="O51" s="29"/>
      <c r="P51" s="29"/>
      <c r="Q51" s="29"/>
      <c r="R51" s="29"/>
      <c r="S51" s="29"/>
      <c r="T51" s="29"/>
      <c r="U51" s="29"/>
      <c r="V51" s="29"/>
      <c r="W51" s="29"/>
      <c r="X51" s="29"/>
      <c r="Y51" s="29"/>
      <c r="Z51" s="29"/>
      <c r="AA51" s="29"/>
      <c r="AB51" s="29"/>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t="str">
        <f>IFERROR(__xludf.DUMMYFUNCTION("""COMPUTED_VALUE"""),"GENEPIO:0100311")</f>
        <v>GENEPIO:0100311</v>
      </c>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0" t="s">
        <v>19</v>
      </c>
      <c r="L52" s="30" t="s">
        <v>19</v>
      </c>
      <c r="M52" s="30" t="s">
        <v>19</v>
      </c>
      <c r="N52" s="31" t="str">
        <f>IFERROR(__xludf.DUMMYFUNCTION("""COMPUTED_VALUE"""),"Mpox;MpoxInternational")</f>
        <v>Mpox;MpoxInternational</v>
      </c>
      <c r="O52" s="29"/>
      <c r="P52" s="29"/>
      <c r="Q52" s="29"/>
      <c r="R52" s="29"/>
      <c r="S52" s="29"/>
      <c r="T52" s="29"/>
      <c r="U52" s="29"/>
      <c r="V52" s="29"/>
      <c r="W52" s="29"/>
      <c r="X52" s="29"/>
      <c r="Y52" s="29"/>
      <c r="Z52" s="29"/>
      <c r="AA52" s="29"/>
      <c r="AB52" s="29"/>
    </row>
    <row r="53">
      <c r="A53" s="29" t="str">
        <f>IFERROR(__xludf.DUMMYFUNCTION("""COMPUTED_VALUE"""),"Sample collection and processing")</f>
        <v>Sample collection and processing</v>
      </c>
      <c r="B53" s="29" t="str">
        <f>IFERROR(__xludf.DUMMYFUNCTION("""COMPUTED_VALUE"""),"experimental specimen role type")</f>
        <v>experimental specimen role type</v>
      </c>
      <c r="C53" s="29"/>
      <c r="D53" s="29"/>
      <c r="E53" s="33" t="str">
        <f>IFERROR(__xludf.DUMMYFUNCTION("""COMPUTED_VALUE"""),"GENEPIO:0100921")</f>
        <v>GENEPIO:0100921</v>
      </c>
      <c r="F53" s="29" t="str">
        <f>IFERROR(__xludf.DUMMYFUNCTION("""COMPUTED_VALUE"""),"The type of role that the sample represents in the experiment.")</f>
        <v>The type of role that the sample represents in the experiment.</v>
      </c>
      <c r="G53"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3" s="29" t="str">
        <f>IFERROR(__xludf.DUMMYFUNCTION("""COMPUTED_VALUE"""),"Positive experimental control")</f>
        <v>Positive experimental control</v>
      </c>
      <c r="I53" s="29"/>
      <c r="J53" s="29"/>
      <c r="K53" s="30" t="s">
        <v>20</v>
      </c>
      <c r="L53" s="30" t="s">
        <v>20</v>
      </c>
      <c r="M53" s="30" t="s">
        <v>20</v>
      </c>
      <c r="N53" s="31" t="str">
        <f>IFERROR(__xludf.DUMMYFUNCTION("""COMPUTED_VALUE"""),"Mpox")</f>
        <v>Mpox</v>
      </c>
      <c r="O53" s="29"/>
      <c r="P53" s="29"/>
      <c r="Q53" s="29"/>
      <c r="R53" s="29"/>
      <c r="S53" s="29"/>
      <c r="T53" s="29"/>
      <c r="U53" s="29"/>
      <c r="V53" s="29"/>
      <c r="W53" s="29"/>
      <c r="X53" s="29"/>
      <c r="Y53" s="29"/>
      <c r="Z53" s="29"/>
      <c r="AA53" s="29"/>
      <c r="AB53" s="29"/>
    </row>
    <row r="54">
      <c r="A54" s="29" t="str">
        <f>IFERROR(__xludf.DUMMYFUNCTION("""COMPUTED_VALUE"""),"Sample collection and processing")</f>
        <v>Sample collection and processing</v>
      </c>
      <c r="B54" s="29" t="str">
        <f>IFERROR(__xludf.DUMMYFUNCTION("""COMPUTED_VALUE"""),"experimental specimen role type")</f>
        <v>experimental specimen role type</v>
      </c>
      <c r="C54" s="29"/>
      <c r="D54" s="29"/>
      <c r="E54" s="33" t="str">
        <f>IFERROR(__xludf.DUMMYFUNCTION("""COMPUTED_VALUE"""),"GENEPIO:0100921")</f>
        <v>GENEPIO:0100921</v>
      </c>
      <c r="F54" s="29" t="str">
        <f>IFERROR(__xludf.DUMMYFUNCTION("""COMPUTED_VALUE"""),"The type of role that the sample represents in the experiment.")</f>
        <v>The type of role that the sample represents in the experiment.</v>
      </c>
      <c r="G54"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4" s="29" t="str">
        <f>IFERROR(__xludf.DUMMYFUNCTION("""COMPUTED_VALUE"""),"Positive experimental control [GENEPIO:0101018]")</f>
        <v>Positive experimental control [GENEPIO:0101018]</v>
      </c>
      <c r="I54" s="29"/>
      <c r="J54" s="29"/>
      <c r="K54" s="30" t="s">
        <v>21</v>
      </c>
      <c r="L54" s="30" t="s">
        <v>21</v>
      </c>
      <c r="M54" s="30" t="s">
        <v>21</v>
      </c>
      <c r="N54" s="31" t="str">
        <f>IFERROR(__xludf.DUMMYFUNCTION("""COMPUTED_VALUE"""),"MpoxInternational")</f>
        <v>MpoxInternational</v>
      </c>
      <c r="O54" s="29"/>
      <c r="P54" s="29"/>
      <c r="Q54" s="29"/>
      <c r="R54" s="29"/>
      <c r="S54" s="29"/>
      <c r="T54" s="29"/>
      <c r="U54" s="29"/>
      <c r="V54" s="29"/>
      <c r="W54" s="29"/>
      <c r="X54" s="29"/>
      <c r="Y54" s="29"/>
      <c r="Z54" s="29"/>
      <c r="AA54" s="29"/>
      <c r="AB54" s="29"/>
    </row>
    <row r="55">
      <c r="A55" s="29" t="str">
        <f>IFERROR(__xludf.DUMMYFUNCTION("""COMPUTED_VALUE"""),"Sample collection and processing")</f>
        <v>Sample collection and processing</v>
      </c>
      <c r="B55" s="29" t="str">
        <f>IFERROR(__xludf.DUMMYFUNCTION("""COMPUTED_VALUE"""),"experimental control details")</f>
        <v>experimental control details</v>
      </c>
      <c r="C55" s="29"/>
      <c r="D55" s="29"/>
      <c r="E55" s="33" t="str">
        <f>IFERROR(__xludf.DUMMYFUNCTION("""COMPUTED_VALUE"""),"GENEPIO:0100922")</f>
        <v>GENEPIO:0100922</v>
      </c>
      <c r="F55" s="29" t="str">
        <f>IFERROR(__xludf.DUMMYFUNCTION("""COMPUTED_VALUE"""),"The details regarding the experimental control contained in the sample.")</f>
        <v>The details regarding the experimental control contained in the sample.</v>
      </c>
      <c r="G55" s="29" t="str">
        <f>IFERROR(__xludf.DUMMYFUNCTION("""COMPUTED_VALUE"""),"Provide details regarding the nature of the reference strain used as a control, or what is was used to monitor.")</f>
        <v>Provide details regarding the nature of the reference strain used as a control, or what is was used to monitor.</v>
      </c>
      <c r="H55" s="29" t="str">
        <f>IFERROR(__xludf.DUMMYFUNCTION("""COMPUTED_VALUE"""),"Human coronavirus 229E (HCoV-229E) spiked in sample as process control")</f>
        <v>Human coronavirus 229E (HCoV-229E) spiked in sample as process control</v>
      </c>
      <c r="I55" s="29"/>
      <c r="J55" s="29"/>
      <c r="K55" s="30" t="s">
        <v>21</v>
      </c>
      <c r="L55" s="30" t="s">
        <v>21</v>
      </c>
      <c r="M55" s="30" t="s">
        <v>21</v>
      </c>
      <c r="N55" s="31" t="str">
        <f>IFERROR(__xludf.DUMMYFUNCTION("""COMPUTED_VALUE"""),"Mpox;MpoxInternational")</f>
        <v>Mpox;MpoxInternational</v>
      </c>
      <c r="O55" s="29"/>
      <c r="P55" s="29"/>
      <c r="Q55" s="29"/>
      <c r="R55" s="29"/>
      <c r="S55" s="29"/>
      <c r="T55" s="29"/>
      <c r="U55" s="29"/>
      <c r="V55" s="29"/>
      <c r="W55" s="29"/>
      <c r="X55" s="29"/>
      <c r="Y55" s="29"/>
      <c r="Z55" s="29"/>
      <c r="AA55" s="29"/>
      <c r="AB55" s="29"/>
    </row>
    <row r="56">
      <c r="A56" s="29"/>
      <c r="B56" s="29" t="str">
        <f>IFERROR(__xludf.DUMMYFUNCTION("""COMPUTED_VALUE"""),"Lineage and Variant information")</f>
        <v>Lineage and Variant information</v>
      </c>
      <c r="C56" s="29" t="str">
        <f>IFERROR(__xludf.DUMMYFUNCTION("""COMPUTED_VALUE"""),"")</f>
        <v/>
      </c>
      <c r="D56" s="29" t="str">
        <f>IFERROR(__xludf.DUMMYFUNCTION("""COMPUTED_VALUE"""),"")</f>
        <v/>
      </c>
      <c r="E56" s="29" t="str">
        <f>IFERROR(__xludf.DUMMYFUNCTION("""COMPUTED_VALUE"""),"GENEPIO:0001498")</f>
        <v>GENEPIO:0001498</v>
      </c>
      <c r="F56" s="29"/>
      <c r="G56" s="29"/>
      <c r="H56" s="29"/>
      <c r="I56" s="29"/>
      <c r="J56" s="29"/>
      <c r="K56" s="30" t="s">
        <v>19</v>
      </c>
      <c r="L56" s="30" t="s">
        <v>19</v>
      </c>
      <c r="M56" s="30" t="s">
        <v>19</v>
      </c>
      <c r="N56" s="31" t="str">
        <f>IFERROR(__xludf.DUMMYFUNCTION("""COMPUTED_VALUE"""),"Mpox;MpoxInternational")</f>
        <v>Mpox;MpoxInternational</v>
      </c>
      <c r="O56" s="29"/>
      <c r="P56" s="29"/>
      <c r="Q56" s="29"/>
      <c r="R56" s="29"/>
      <c r="S56" s="29"/>
      <c r="T56" s="29"/>
      <c r="U56" s="29"/>
      <c r="V56" s="29"/>
      <c r="W56" s="29"/>
      <c r="X56" s="29"/>
      <c r="Y56" s="29"/>
      <c r="Z56" s="29"/>
      <c r="AA56" s="29"/>
      <c r="AB56" s="29"/>
    </row>
    <row r="57">
      <c r="A57" s="29" t="str">
        <f>IFERROR(__xludf.DUMMYFUNCTION("""COMPUTED_VALUE"""),"Lineage and Variant information")</f>
        <v>Lineage and Variant information</v>
      </c>
      <c r="B57" s="29" t="str">
        <f>IFERROR(__xludf.DUMMYFUNCTION("""COMPUTED_VALUE"""),"lineage/clade name")</f>
        <v>lineage/clade name</v>
      </c>
      <c r="C57" s="29" t="str">
        <f>IFERROR(__xludf.DUMMYFUNCTION("""COMPUTED_VALUE"""),"")</f>
        <v/>
      </c>
      <c r="D57" s="29" t="str">
        <f>IFERROR(__xludf.DUMMYFUNCTION("""COMPUTED_VALUE"""),"")</f>
        <v/>
      </c>
      <c r="E57" s="29" t="str">
        <f>IFERROR(__xludf.DUMMYFUNCTION("""COMPUTED_VALUE"""),"GENEPIO:0001500")</f>
        <v>GENEPIO:0001500</v>
      </c>
      <c r="F57" s="29" t="str">
        <f>IFERROR(__xludf.DUMMYFUNCTION("""COMPUTED_VALUE"""),"The name of the lineage or clade.")</f>
        <v>The name of the lineage or clade.</v>
      </c>
      <c r="G57" s="29" t="str">
        <f>IFERROR(__xludf.DUMMYFUNCTION("""COMPUTED_VALUE"""),"Provide the lineage/clade name.")</f>
        <v>Provide the lineage/clade name.</v>
      </c>
      <c r="H57" s="29" t="str">
        <f>IFERROR(__xludf.DUMMYFUNCTION("""COMPUTED_VALUE"""),"B.1.1.7")</f>
        <v>B.1.1.7</v>
      </c>
      <c r="I57" s="29"/>
      <c r="J57" s="29"/>
      <c r="K57" s="30" t="s">
        <v>19</v>
      </c>
      <c r="L57" s="30" t="s">
        <v>19</v>
      </c>
      <c r="M57" s="30" t="s">
        <v>19</v>
      </c>
      <c r="N57" s="31" t="str">
        <f>IFERROR(__xludf.DUMMYFUNCTION("""COMPUTED_VALUE"""),"MpoxInternational")</f>
        <v>MpoxInternational</v>
      </c>
      <c r="O57" s="29"/>
      <c r="P57" s="29"/>
      <c r="Q57" s="29"/>
      <c r="R57" s="29"/>
      <c r="S57" s="29"/>
      <c r="T57" s="29"/>
      <c r="U57" s="29"/>
      <c r="V57" s="29"/>
      <c r="W57" s="29"/>
      <c r="X57" s="29"/>
      <c r="Y57" s="29"/>
      <c r="Z57" s="29"/>
      <c r="AA57" s="29"/>
      <c r="AB57" s="29"/>
    </row>
    <row r="58">
      <c r="A58" s="29" t="str">
        <f>IFERROR(__xludf.DUMMYFUNCTION("""COMPUTED_VALUE"""),"Lineage and Variant information")</f>
        <v>Lineage and Variant information</v>
      </c>
      <c r="B58" s="29" t="str">
        <f>IFERROR(__xludf.DUMMYFUNCTION("""COMPUTED_VALUE"""),"lineage/clade analysis software name")</f>
        <v>lineage/clade analysis software name</v>
      </c>
      <c r="C58" s="29" t="str">
        <f>IFERROR(__xludf.DUMMYFUNCTION("""COMPUTED_VALUE"""),"")</f>
        <v/>
      </c>
      <c r="D58" s="29" t="str">
        <f>IFERROR(__xludf.DUMMYFUNCTION("""COMPUTED_VALUE"""),"")</f>
        <v/>
      </c>
      <c r="E58" s="29" t="str">
        <f>IFERROR(__xludf.DUMMYFUNCTION("""COMPUTED_VALUE"""),"GENEPIO:0001501")</f>
        <v>GENEPIO:0001501</v>
      </c>
      <c r="F58" s="29" t="str">
        <f>IFERROR(__xludf.DUMMYFUNCTION("""COMPUTED_VALUE"""),"The name of the software used to determine the lineage/clade.")</f>
        <v>The name of the software used to determine the lineage/clade.</v>
      </c>
      <c r="G58" s="29" t="str">
        <f>IFERROR(__xludf.DUMMYFUNCTION("""COMPUTED_VALUE"""),"Provide the name of the software used to determine the lineage/clade.")</f>
        <v>Provide the name of the software used to determine the lineage/clade.</v>
      </c>
      <c r="H58" s="29" t="str">
        <f>IFERROR(__xludf.DUMMYFUNCTION("""COMPUTED_VALUE"""),"Pangolin")</f>
        <v>Pangolin</v>
      </c>
      <c r="I58" s="29"/>
      <c r="J58" s="29"/>
      <c r="K58" s="30" t="s">
        <v>19</v>
      </c>
      <c r="L58" s="30" t="s">
        <v>19</v>
      </c>
      <c r="M58" s="30" t="s">
        <v>19</v>
      </c>
      <c r="N58" s="31" t="str">
        <f>IFERROR(__xludf.DUMMYFUNCTION("""COMPUTED_VALUE"""),"MpoxInternational")</f>
        <v>MpoxInternational</v>
      </c>
      <c r="O58" s="29"/>
      <c r="P58" s="29"/>
      <c r="Q58" s="29"/>
      <c r="R58" s="29"/>
      <c r="S58" s="29"/>
      <c r="T58" s="29"/>
      <c r="U58" s="29"/>
      <c r="V58" s="29"/>
      <c r="W58" s="29"/>
      <c r="X58" s="29"/>
      <c r="Y58" s="29"/>
      <c r="Z58" s="29"/>
      <c r="AA58" s="29"/>
      <c r="AB58" s="29"/>
    </row>
    <row r="59">
      <c r="A59" s="29" t="str">
        <f>IFERROR(__xludf.DUMMYFUNCTION("""COMPUTED_VALUE"""),"Lineage and Variant information")</f>
        <v>Lineage and Variant information</v>
      </c>
      <c r="B59" s="29" t="str">
        <f>IFERROR(__xludf.DUMMYFUNCTION("""COMPUTED_VALUE"""),"lineage/clade analysis software version")</f>
        <v>lineage/clade analysis software version</v>
      </c>
      <c r="C59" s="29" t="str">
        <f>IFERROR(__xludf.DUMMYFUNCTION("""COMPUTED_VALUE"""),"")</f>
        <v/>
      </c>
      <c r="D59" s="29" t="str">
        <f>IFERROR(__xludf.DUMMYFUNCTION("""COMPUTED_VALUE"""),"")</f>
        <v/>
      </c>
      <c r="E59" s="29" t="str">
        <f>IFERROR(__xludf.DUMMYFUNCTION("""COMPUTED_VALUE"""),"GENEPIO:0001502")</f>
        <v>GENEPIO:0001502</v>
      </c>
      <c r="F59" s="29" t="str">
        <f>IFERROR(__xludf.DUMMYFUNCTION("""COMPUTED_VALUE"""),"The version of the software used to determine the lineage/clade.")</f>
        <v>The version of the software used to determine the lineage/clade.</v>
      </c>
      <c r="G59" s="29" t="str">
        <f>IFERROR(__xludf.DUMMYFUNCTION("""COMPUTED_VALUE"""),"Provide the version of the software used ot determine the lineage/clade.")</f>
        <v>Provide the version of the software used ot determine the lineage/clade.</v>
      </c>
      <c r="H59" s="29" t="str">
        <f>IFERROR(__xludf.DUMMYFUNCTION("""COMPUTED_VALUE"""),"2.1.10")</f>
        <v>2.1.10</v>
      </c>
      <c r="I59" s="29"/>
      <c r="J59" s="29"/>
      <c r="K59" s="30" t="s">
        <v>19</v>
      </c>
      <c r="L59" s="30" t="s">
        <v>19</v>
      </c>
      <c r="M59" s="30" t="s">
        <v>19</v>
      </c>
      <c r="N59" s="31" t="str">
        <f>IFERROR(__xludf.DUMMYFUNCTION("""COMPUTED_VALUE"""),"MpoxInternational")</f>
        <v>MpoxInternational</v>
      </c>
      <c r="O59" s="29"/>
      <c r="P59" s="29"/>
      <c r="Q59" s="29"/>
      <c r="R59" s="29"/>
      <c r="S59" s="29"/>
      <c r="T59" s="29"/>
      <c r="U59" s="29"/>
      <c r="V59" s="29"/>
      <c r="W59" s="29"/>
      <c r="X59" s="29"/>
      <c r="Y59" s="29"/>
      <c r="Z59" s="29"/>
      <c r="AA59" s="29"/>
      <c r="AB59" s="29"/>
    </row>
    <row r="60">
      <c r="A60" s="29"/>
      <c r="B60" s="29" t="str">
        <f>IFERROR(__xludf.DUMMYFUNCTION("""COMPUTED_VALUE"""),"Host Information")</f>
        <v>Host Information</v>
      </c>
      <c r="C60" s="29" t="str">
        <f>IFERROR(__xludf.DUMMYFUNCTION("""COMPUTED_VALUE"""),"")</f>
        <v/>
      </c>
      <c r="D60" s="29" t="str">
        <f>IFERROR(__xludf.DUMMYFUNCTION("""COMPUTED_VALUE"""),"")</f>
        <v/>
      </c>
      <c r="E60" s="29" t="str">
        <f>IFERROR(__xludf.DUMMYFUNCTION("""COMPUTED_VALUE"""),"GENEPIO:0001268")</f>
        <v>GENEPIO:0001268</v>
      </c>
      <c r="F60" s="29"/>
      <c r="G60" s="29"/>
      <c r="H60" s="29"/>
      <c r="I60" s="29"/>
      <c r="J60" s="29"/>
      <c r="K60" s="30" t="s">
        <v>19</v>
      </c>
      <c r="L60" s="30" t="s">
        <v>19</v>
      </c>
      <c r="M60" s="30" t="s">
        <v>19</v>
      </c>
      <c r="N60" s="31" t="str">
        <f>IFERROR(__xludf.DUMMYFUNCTION("""COMPUTED_VALUE"""),"Mpox;MpoxInternational")</f>
        <v>Mpox;MpoxInternational</v>
      </c>
      <c r="O60" s="29"/>
      <c r="P60" s="29"/>
      <c r="Q60" s="29"/>
      <c r="R60" s="29"/>
      <c r="S60" s="29"/>
      <c r="T60" s="29"/>
      <c r="U60" s="29"/>
      <c r="V60" s="29"/>
      <c r="W60" s="29"/>
      <c r="X60" s="29"/>
      <c r="Y60" s="29"/>
      <c r="Z60" s="29"/>
      <c r="AA60" s="29"/>
      <c r="AB60" s="29"/>
    </row>
    <row r="61">
      <c r="A61" s="29" t="str">
        <f>IFERROR(__xludf.DUMMYFUNCTION("""COMPUTED_VALUE"""),"Host Information")</f>
        <v>Host Information</v>
      </c>
      <c r="B61" s="29" t="str">
        <f>IFERROR(__xludf.DUMMYFUNCTION("""COMPUTED_VALUE"""),"host (common name)")</f>
        <v>host (common name)</v>
      </c>
      <c r="C61" s="29"/>
      <c r="D61" s="29"/>
      <c r="E61" s="29" t="str">
        <f>IFERROR(__xludf.DUMMYFUNCTION("""COMPUTED_VALUE"""),"GENEPIO:0001386")</f>
        <v>GENEPIO:0001386</v>
      </c>
      <c r="F61" s="29" t="str">
        <f>IFERROR(__xludf.DUMMYFUNCTION("""COMPUTED_VALUE"""),"The commonly used name of the host.")</f>
        <v>The commonly used name of the host.</v>
      </c>
      <c r="G61"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1" s="29" t="str">
        <f>IFERROR(__xludf.DUMMYFUNCTION("""COMPUTED_VALUE"""),"Human")</f>
        <v>Human</v>
      </c>
      <c r="I61" s="29"/>
      <c r="J61" s="29"/>
      <c r="K61" s="30" t="s">
        <v>19</v>
      </c>
      <c r="L61" s="30" t="s">
        <v>19</v>
      </c>
      <c r="M61" s="30" t="s">
        <v>19</v>
      </c>
      <c r="N61" s="31" t="str">
        <f>IFERROR(__xludf.DUMMYFUNCTION("""COMPUTED_VALUE"""),"Mpox")</f>
        <v>Mpox</v>
      </c>
      <c r="O61" s="29"/>
      <c r="P61" s="29"/>
      <c r="Q61" s="29"/>
      <c r="R61" s="29"/>
      <c r="S61" s="29"/>
      <c r="T61" s="29"/>
      <c r="U61" s="29"/>
      <c r="V61" s="29"/>
      <c r="W61" s="29"/>
      <c r="X61" s="29"/>
      <c r="Y61" s="29"/>
      <c r="Z61" s="29"/>
      <c r="AA61" s="29"/>
      <c r="AB61" s="29"/>
    </row>
    <row r="62">
      <c r="A62" s="29" t="str">
        <f>IFERROR(__xludf.DUMMYFUNCTION("""COMPUTED_VALUE"""),"Host Information")</f>
        <v>Host Information</v>
      </c>
      <c r="B62" s="29" t="str">
        <f>IFERROR(__xludf.DUMMYFUNCTION("""COMPUTED_VALUE"""),"host (common name)")</f>
        <v>host (common name)</v>
      </c>
      <c r="C62" s="29"/>
      <c r="D62" s="29"/>
      <c r="E62" s="29" t="str">
        <f>IFERROR(__xludf.DUMMYFUNCTION("""COMPUTED_VALUE"""),"GENEPIO:0001386")</f>
        <v>GENEPIO:0001386</v>
      </c>
      <c r="F62" s="29" t="str">
        <f>IFERROR(__xludf.DUMMYFUNCTION("""COMPUTED_VALUE"""),"The commonly used name of the host.")</f>
        <v>The commonly used name of the host.</v>
      </c>
      <c r="G62"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62" s="29" t="str">
        <f>IFERROR(__xludf.DUMMYFUNCTION("""COMPUTED_VALUE"""),"Human")</f>
        <v>Human</v>
      </c>
      <c r="I62" s="29"/>
      <c r="J62" s="29"/>
      <c r="K62" s="30" t="s">
        <v>19</v>
      </c>
      <c r="L62" s="30" t="s">
        <v>19</v>
      </c>
      <c r="M62" s="30" t="s">
        <v>19</v>
      </c>
      <c r="N62" s="31" t="str">
        <f>IFERROR(__xludf.DUMMYFUNCTION("""COMPUTED_VALUE"""),"MpoxInternational")</f>
        <v>MpoxInternational</v>
      </c>
      <c r="O62" s="29"/>
      <c r="P62" s="29"/>
      <c r="Q62" s="29"/>
      <c r="R62" s="29"/>
      <c r="S62" s="29"/>
      <c r="T62" s="29"/>
      <c r="U62" s="29"/>
      <c r="V62" s="29"/>
      <c r="W62" s="29"/>
      <c r="X62" s="29"/>
      <c r="Y62" s="29"/>
      <c r="Z62" s="29"/>
      <c r="AA62" s="29"/>
      <c r="AB62" s="29"/>
    </row>
    <row r="63">
      <c r="A63" s="29" t="str">
        <f>IFERROR(__xludf.DUMMYFUNCTION("""COMPUTED_VALUE"""),"Host Information")</f>
        <v>Host Information</v>
      </c>
      <c r="B63" s="29" t="str">
        <f>IFERROR(__xludf.DUMMYFUNCTION("""COMPUTED_VALUE"""),"host (scientific name)")</f>
        <v>host (scientific name)</v>
      </c>
      <c r="C63" s="29" t="b">
        <f>IFERROR(__xludf.DUMMYFUNCTION("""COMPUTED_VALUE"""),TRUE)</f>
        <v>1</v>
      </c>
      <c r="D63" s="29" t="str">
        <f>IFERROR(__xludf.DUMMYFUNCTION("""COMPUTED_VALUE"""),"")</f>
        <v/>
      </c>
      <c r="E63" s="29" t="str">
        <f>IFERROR(__xludf.DUMMYFUNCTION("""COMPUTED_VALUE"""),"GENEPIO:0001387")</f>
        <v>GENEPIO:0001387</v>
      </c>
      <c r="F63" s="29" t="str">
        <f>IFERROR(__xludf.DUMMYFUNCTION("""COMPUTED_VALUE"""),"The taxonomic, or scientific name of the host.")</f>
        <v>The taxonomic, or scientific name of the host.</v>
      </c>
      <c r="G63"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3" s="29" t="str">
        <f>IFERROR(__xludf.DUMMYFUNCTION("""COMPUTED_VALUE"""),"Homo sapiens")</f>
        <v>Homo sapiens</v>
      </c>
      <c r="I63" s="29"/>
      <c r="J63" s="29"/>
      <c r="K63" s="30" t="s">
        <v>19</v>
      </c>
      <c r="L63" s="30" t="s">
        <v>19</v>
      </c>
      <c r="M63" s="30" t="s">
        <v>19</v>
      </c>
      <c r="N63" s="31" t="str">
        <f>IFERROR(__xludf.DUMMYFUNCTION("""COMPUTED_VALUE"""),"Mpox")</f>
        <v>Mpox</v>
      </c>
      <c r="O63" s="29"/>
      <c r="P63" s="29"/>
      <c r="Q63" s="29"/>
      <c r="R63" s="29"/>
      <c r="S63" s="29"/>
      <c r="T63" s="29"/>
      <c r="U63" s="29"/>
      <c r="V63" s="29"/>
      <c r="W63" s="29"/>
      <c r="X63" s="29"/>
      <c r="Y63" s="29"/>
      <c r="Z63" s="29"/>
      <c r="AA63" s="29"/>
      <c r="AB63" s="29"/>
    </row>
    <row r="64">
      <c r="A64" s="29" t="str">
        <f>IFERROR(__xludf.DUMMYFUNCTION("""COMPUTED_VALUE"""),"Host Information")</f>
        <v>Host Information</v>
      </c>
      <c r="B64" s="29" t="str">
        <f>IFERROR(__xludf.DUMMYFUNCTION("""COMPUTED_VALUE"""),"host (scientific name)")</f>
        <v>host (scientific name)</v>
      </c>
      <c r="C64" s="29" t="b">
        <f>IFERROR(__xludf.DUMMYFUNCTION("""COMPUTED_VALUE"""),TRUE)</f>
        <v>1</v>
      </c>
      <c r="D64" s="29" t="str">
        <f>IFERROR(__xludf.DUMMYFUNCTION("""COMPUTED_VALUE"""),"")</f>
        <v/>
      </c>
      <c r="E64" s="29" t="str">
        <f>IFERROR(__xludf.DUMMYFUNCTION("""COMPUTED_VALUE"""),"GENEPIO:0001387")</f>
        <v>GENEPIO:0001387</v>
      </c>
      <c r="F64" s="29" t="str">
        <f>IFERROR(__xludf.DUMMYFUNCTION("""COMPUTED_VALUE"""),"The taxonomic, or scientific name of the host.")</f>
        <v>The taxonomic, or scientific name of the host.</v>
      </c>
      <c r="G64"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4" s="29" t="str">
        <f>IFERROR(__xludf.DUMMYFUNCTION("""COMPUTED_VALUE"""),"Homo sapiens [NCBITaxon:9606]")</f>
        <v>Homo sapiens [NCBITaxon:9606]</v>
      </c>
      <c r="I64" s="29"/>
      <c r="J64" s="29"/>
      <c r="K64" s="30" t="s">
        <v>19</v>
      </c>
      <c r="L64" s="30" t="s">
        <v>19</v>
      </c>
      <c r="M64" s="30" t="s">
        <v>19</v>
      </c>
      <c r="N64" s="31" t="str">
        <f>IFERROR(__xludf.DUMMYFUNCTION("""COMPUTED_VALUE"""),"MpoxInternational")</f>
        <v>MpoxInternational</v>
      </c>
      <c r="O64" s="29"/>
      <c r="P64" s="29"/>
      <c r="Q64" s="29"/>
      <c r="R64" s="29"/>
      <c r="S64" s="29"/>
      <c r="T64" s="29"/>
      <c r="U64" s="29"/>
      <c r="V64" s="29"/>
      <c r="W64" s="29"/>
      <c r="X64" s="29"/>
      <c r="Y64" s="29"/>
      <c r="Z64" s="29"/>
      <c r="AA64" s="29"/>
      <c r="AB64" s="29"/>
    </row>
    <row r="65">
      <c r="A65" s="29" t="str">
        <f>IFERROR(__xludf.DUMMYFUNCTION("""COMPUTED_VALUE"""),"Host Information")</f>
        <v>Host Information</v>
      </c>
      <c r="B65" s="29" t="str">
        <f>IFERROR(__xludf.DUMMYFUNCTION("""COMPUTED_VALUE"""),"host health state")</f>
        <v>host health state</v>
      </c>
      <c r="C65" s="29"/>
      <c r="D65" s="29" t="str">
        <f>IFERROR(__xludf.DUMMYFUNCTION("""COMPUTED_VALUE"""),"")</f>
        <v/>
      </c>
      <c r="E65" s="29" t="str">
        <f>IFERROR(__xludf.DUMMYFUNCTION("""COMPUTED_VALUE"""),"GENEPIO:0001388")</f>
        <v>GENEPIO:0001388</v>
      </c>
      <c r="F65" s="29" t="str">
        <f>IFERROR(__xludf.DUMMYFUNCTION("""COMPUTED_VALUE"""),"Health status of the host at the time of sample collection.")</f>
        <v>Health status of the host at the time of sample collection.</v>
      </c>
      <c r="G65" s="29" t="str">
        <f>IFERROR(__xludf.DUMMYFUNCTION("""COMPUTED_VALUE"""),"If known, select a value from the pick list.")</f>
        <v>If known, select a value from the pick list.</v>
      </c>
      <c r="H65" s="29" t="str">
        <f>IFERROR(__xludf.DUMMYFUNCTION("""COMPUTED_VALUE"""),"Asymptomatic ")</f>
        <v>Asymptomatic </v>
      </c>
      <c r="I65" s="29"/>
      <c r="J65" s="29"/>
      <c r="K65" s="30" t="s">
        <v>19</v>
      </c>
      <c r="L65" s="30" t="s">
        <v>19</v>
      </c>
      <c r="M65" s="30" t="s">
        <v>19</v>
      </c>
      <c r="N65" s="31" t="str">
        <f>IFERROR(__xludf.DUMMYFUNCTION("""COMPUTED_VALUE"""),"Mpox")</f>
        <v>Mpox</v>
      </c>
      <c r="O65" s="29"/>
      <c r="P65" s="29"/>
      <c r="Q65" s="29"/>
      <c r="R65" s="29"/>
      <c r="S65" s="29"/>
      <c r="T65" s="29"/>
      <c r="U65" s="29"/>
      <c r="V65" s="29"/>
      <c r="W65" s="29"/>
      <c r="X65" s="29"/>
      <c r="Y65" s="29"/>
      <c r="Z65" s="29"/>
      <c r="AA65" s="29"/>
      <c r="AB65" s="29"/>
    </row>
    <row r="66">
      <c r="A66" s="29" t="str">
        <f>IFERROR(__xludf.DUMMYFUNCTION("""COMPUTED_VALUE"""),"Host Information")</f>
        <v>Host Information</v>
      </c>
      <c r="B66" s="29" t="str">
        <f>IFERROR(__xludf.DUMMYFUNCTION("""COMPUTED_VALUE"""),"host health state")</f>
        <v>host health state</v>
      </c>
      <c r="C66" s="29"/>
      <c r="D66" s="29" t="str">
        <f>IFERROR(__xludf.DUMMYFUNCTION("""COMPUTED_VALUE"""),"")</f>
        <v/>
      </c>
      <c r="E66" s="29" t="str">
        <f>IFERROR(__xludf.DUMMYFUNCTION("""COMPUTED_VALUE"""),"GENEPIO:0001388")</f>
        <v>GENEPIO:0001388</v>
      </c>
      <c r="F66" s="29" t="str">
        <f>IFERROR(__xludf.DUMMYFUNCTION("""COMPUTED_VALUE"""),"Health status of the host at the time of sample collection.")</f>
        <v>Health status of the host at the time of sample collection.</v>
      </c>
      <c r="G66" s="29" t="str">
        <f>IFERROR(__xludf.DUMMYFUNCTION("""COMPUTED_VALUE"""),"If known, select a value from the pick list.")</f>
        <v>If known, select a value from the pick list.</v>
      </c>
      <c r="H66" s="29" t="str">
        <f>IFERROR(__xludf.DUMMYFUNCTION("""COMPUTED_VALUE"""),"Asymptomatic [NCIT:C3833]")</f>
        <v>Asymptomatic [NCIT:C3833]</v>
      </c>
      <c r="I66" s="29"/>
      <c r="J66" s="29"/>
      <c r="K66" s="30" t="s">
        <v>19</v>
      </c>
      <c r="L66" s="30" t="s">
        <v>19</v>
      </c>
      <c r="M66" s="30" t="s">
        <v>19</v>
      </c>
      <c r="N66" s="31" t="str">
        <f>IFERROR(__xludf.DUMMYFUNCTION("""COMPUTED_VALUE"""),"MpoxInternational")</f>
        <v>MpoxInternational</v>
      </c>
      <c r="O66" s="29"/>
      <c r="P66" s="29"/>
      <c r="Q66" s="29"/>
      <c r="R66" s="29"/>
      <c r="S66" s="29"/>
      <c r="T66" s="29"/>
      <c r="U66" s="29"/>
      <c r="V66" s="29"/>
      <c r="W66" s="29"/>
      <c r="X66" s="29"/>
      <c r="Y66" s="29"/>
      <c r="Z66" s="29"/>
      <c r="AA66" s="29"/>
      <c r="AB66" s="29"/>
    </row>
    <row r="67">
      <c r="A67" s="29" t="str">
        <f>IFERROR(__xludf.DUMMYFUNCTION("""COMPUTED_VALUE"""),"Host Information")</f>
        <v>Host Information</v>
      </c>
      <c r="B67" s="29" t="str">
        <f>IFERROR(__xludf.DUMMYFUNCTION("""COMPUTED_VALUE"""),"host health status details")</f>
        <v>host health status details</v>
      </c>
      <c r="C67" s="29"/>
      <c r="D67" s="29"/>
      <c r="E67" s="29" t="str">
        <f>IFERROR(__xludf.DUMMYFUNCTION("""COMPUTED_VALUE"""),"GENEPIO:0001389")</f>
        <v>GENEPIO:0001389</v>
      </c>
      <c r="F67" s="29" t="str">
        <f>IFERROR(__xludf.DUMMYFUNCTION("""COMPUTED_VALUE"""),"Further details pertaining to the health or disease status of the host at time of collection.")</f>
        <v>Further details pertaining to the health or disease status of the host at time of collection.</v>
      </c>
      <c r="G67" s="29" t="str">
        <f>IFERROR(__xludf.DUMMYFUNCTION("""COMPUTED_VALUE"""),"If known, select a descriptor from the pick list provided in the template.")</f>
        <v>If known, select a descriptor from the pick list provided in the template.</v>
      </c>
      <c r="H67" s="29" t="str">
        <f>IFERROR(__xludf.DUMMYFUNCTION("""COMPUTED_VALUE"""),"Hospitalized ")</f>
        <v>Hospitalized </v>
      </c>
      <c r="I67" s="29"/>
      <c r="J67" s="29"/>
      <c r="K67" s="30" t="s">
        <v>19</v>
      </c>
      <c r="L67" s="30" t="s">
        <v>19</v>
      </c>
      <c r="M67" s="30" t="s">
        <v>19</v>
      </c>
      <c r="N67" s="31" t="str">
        <f>IFERROR(__xludf.DUMMYFUNCTION("""COMPUTED_VALUE"""),"Mpox")</f>
        <v>Mpox</v>
      </c>
      <c r="O67" s="29"/>
      <c r="P67" s="29"/>
      <c r="Q67" s="29"/>
      <c r="R67" s="29"/>
      <c r="S67" s="29"/>
      <c r="T67" s="29"/>
      <c r="U67" s="29"/>
      <c r="V67" s="29"/>
      <c r="W67" s="29"/>
      <c r="X67" s="29"/>
      <c r="Y67" s="29"/>
      <c r="Z67" s="29"/>
      <c r="AA67" s="29"/>
      <c r="AB67" s="29"/>
    </row>
    <row r="68">
      <c r="A68" s="29" t="str">
        <f>IFERROR(__xludf.DUMMYFUNCTION("""COMPUTED_VALUE"""),"Host Information")</f>
        <v>Host Information</v>
      </c>
      <c r="B68" s="29" t="str">
        <f>IFERROR(__xludf.DUMMYFUNCTION("""COMPUTED_VALUE"""),"host health status details")</f>
        <v>host health status details</v>
      </c>
      <c r="C68" s="29"/>
      <c r="D68" s="29"/>
      <c r="E68" s="29" t="str">
        <f>IFERROR(__xludf.DUMMYFUNCTION("""COMPUTED_VALUE"""),"GENEPIO:0001389")</f>
        <v>GENEPIO:0001389</v>
      </c>
      <c r="F68" s="29" t="str">
        <f>IFERROR(__xludf.DUMMYFUNCTION("""COMPUTED_VALUE"""),"Further details pertaining to the health or disease status of the host at time of collection.")</f>
        <v>Further details pertaining to the health or disease status of the host at time of collection.</v>
      </c>
      <c r="G68" s="29" t="str">
        <f>IFERROR(__xludf.DUMMYFUNCTION("""COMPUTED_VALUE"""),"If known, select a descriptor from the pick list provided in the template.")</f>
        <v>If known, select a descriptor from the pick list provided in the template.</v>
      </c>
      <c r="H68" s="29" t="str">
        <f>IFERROR(__xludf.DUMMYFUNCTION("""COMPUTED_VALUE"""),"Hospitalized [NCIT:C25179]")</f>
        <v>Hospitalized [NCIT:C25179]</v>
      </c>
      <c r="I68" s="29"/>
      <c r="J68" s="29"/>
      <c r="K68" s="30" t="s">
        <v>19</v>
      </c>
      <c r="L68" s="30" t="s">
        <v>19</v>
      </c>
      <c r="M68" s="30" t="s">
        <v>19</v>
      </c>
      <c r="N68" s="31" t="str">
        <f>IFERROR(__xludf.DUMMYFUNCTION("""COMPUTED_VALUE"""),"MpoxInternational")</f>
        <v>MpoxInternational</v>
      </c>
      <c r="O68" s="29"/>
      <c r="P68" s="29"/>
      <c r="Q68" s="29"/>
      <c r="R68" s="29"/>
      <c r="S68" s="29"/>
      <c r="T68" s="29"/>
      <c r="U68" s="29"/>
      <c r="V68" s="29"/>
      <c r="W68" s="29"/>
      <c r="X68" s="29"/>
      <c r="Y68" s="29"/>
      <c r="Z68" s="29"/>
      <c r="AA68" s="29"/>
      <c r="AB68" s="29"/>
    </row>
    <row r="69">
      <c r="A69" s="29" t="str">
        <f>IFERROR(__xludf.DUMMYFUNCTION("""COMPUTED_VALUE"""),"Host Information")</f>
        <v>Host Information</v>
      </c>
      <c r="B69" s="29" t="str">
        <f>IFERROR(__xludf.DUMMYFUNCTION("""COMPUTED_VALUE"""),"host health outcome")</f>
        <v>host health outcome</v>
      </c>
      <c r="C69" s="29"/>
      <c r="D69" s="29" t="str">
        <f>IFERROR(__xludf.DUMMYFUNCTION("""COMPUTED_VALUE"""),"")</f>
        <v/>
      </c>
      <c r="E69" s="29" t="str">
        <f>IFERROR(__xludf.DUMMYFUNCTION("""COMPUTED_VALUE"""),"GENEPIO:0001389")</f>
        <v>GENEPIO:0001389</v>
      </c>
      <c r="F69" s="29" t="str">
        <f>IFERROR(__xludf.DUMMYFUNCTION("""COMPUTED_VALUE"""),"Disease outcome in the host.")</f>
        <v>Disease outcome in the host.</v>
      </c>
      <c r="G69" s="29" t="str">
        <f>IFERROR(__xludf.DUMMYFUNCTION("""COMPUTED_VALUE"""),"If known, select a value from the pick list.")</f>
        <v>If known, select a value from the pick list.</v>
      </c>
      <c r="H69" s="29" t="str">
        <f>IFERROR(__xludf.DUMMYFUNCTION("""COMPUTED_VALUE"""),"Recovered ")</f>
        <v>Recovered </v>
      </c>
      <c r="I69" s="29"/>
      <c r="J69" s="29"/>
      <c r="K69" s="30" t="s">
        <v>19</v>
      </c>
      <c r="L69" s="30" t="s">
        <v>19</v>
      </c>
      <c r="M69" s="30" t="s">
        <v>19</v>
      </c>
      <c r="N69" s="31" t="str">
        <f>IFERROR(__xludf.DUMMYFUNCTION("""COMPUTED_VALUE"""),"Mpox")</f>
        <v>Mpox</v>
      </c>
      <c r="O69" s="29"/>
      <c r="P69" s="29"/>
      <c r="Q69" s="29"/>
      <c r="R69" s="29"/>
      <c r="S69" s="29"/>
      <c r="T69" s="29"/>
      <c r="U69" s="29"/>
      <c r="V69" s="29"/>
      <c r="W69" s="29"/>
      <c r="X69" s="29"/>
      <c r="Y69" s="29"/>
      <c r="Z69" s="29"/>
      <c r="AA69" s="29"/>
      <c r="AB69" s="29"/>
    </row>
    <row r="70">
      <c r="A70" s="29" t="str">
        <f>IFERROR(__xludf.DUMMYFUNCTION("""COMPUTED_VALUE"""),"Host Information")</f>
        <v>Host Information</v>
      </c>
      <c r="B70" s="29" t="str">
        <f>IFERROR(__xludf.DUMMYFUNCTION("""COMPUTED_VALUE"""),"host health outcome")</f>
        <v>host health outcome</v>
      </c>
      <c r="C70" s="29"/>
      <c r="D70" s="29" t="str">
        <f>IFERROR(__xludf.DUMMYFUNCTION("""COMPUTED_VALUE"""),"")</f>
        <v/>
      </c>
      <c r="E70" s="29" t="str">
        <f>IFERROR(__xludf.DUMMYFUNCTION("""COMPUTED_VALUE"""),"GENEPIO:0001389")</f>
        <v>GENEPIO:0001389</v>
      </c>
      <c r="F70" s="29" t="str">
        <f>IFERROR(__xludf.DUMMYFUNCTION("""COMPUTED_VALUE"""),"Disease outcome in the host.")</f>
        <v>Disease outcome in the host.</v>
      </c>
      <c r="G70" s="29" t="str">
        <f>IFERROR(__xludf.DUMMYFUNCTION("""COMPUTED_VALUE"""),"If known, select a value from the pick list.")</f>
        <v>If known, select a value from the pick list.</v>
      </c>
      <c r="H70" s="29" t="str">
        <f>IFERROR(__xludf.DUMMYFUNCTION("""COMPUTED_VALUE"""),"Recovered [NCIT:C49498]")</f>
        <v>Recovered [NCIT:C49498]</v>
      </c>
      <c r="I70" s="29"/>
      <c r="J70" s="29"/>
      <c r="K70" s="30" t="s">
        <v>19</v>
      </c>
      <c r="L70" s="30" t="s">
        <v>19</v>
      </c>
      <c r="M70" s="30" t="s">
        <v>19</v>
      </c>
      <c r="N70" s="31" t="str">
        <f>IFERROR(__xludf.DUMMYFUNCTION("""COMPUTED_VALUE"""),"MpoxInternational")</f>
        <v>MpoxInternational</v>
      </c>
      <c r="O70" s="29"/>
      <c r="P70" s="29"/>
      <c r="Q70" s="29"/>
      <c r="R70" s="29"/>
      <c r="S70" s="29"/>
      <c r="T70" s="29"/>
      <c r="U70" s="29"/>
      <c r="V70" s="29"/>
      <c r="W70" s="29"/>
      <c r="X70" s="29"/>
      <c r="Y70" s="29"/>
      <c r="Z70" s="29"/>
      <c r="AA70" s="29"/>
      <c r="AB70" s="29"/>
    </row>
    <row r="71">
      <c r="A71" s="29" t="str">
        <f>IFERROR(__xludf.DUMMYFUNCTION("""COMPUTED_VALUE"""),"Host Information")</f>
        <v>Host Information</v>
      </c>
      <c r="B71" s="29" t="str">
        <f>IFERROR(__xludf.DUMMYFUNCTION("""COMPUTED_VALUE"""),"host disease")</f>
        <v>host disease</v>
      </c>
      <c r="C71" s="29" t="b">
        <f>IFERROR(__xludf.DUMMYFUNCTION("""COMPUTED_VALUE"""),TRUE)</f>
        <v>1</v>
      </c>
      <c r="D71" s="29" t="str">
        <f>IFERROR(__xludf.DUMMYFUNCTION("""COMPUTED_VALUE"""),"")</f>
        <v/>
      </c>
      <c r="E71" s="29" t="str">
        <f>IFERROR(__xludf.DUMMYFUNCTION("""COMPUTED_VALUE"""),"GENEPIO:0001391")</f>
        <v>GENEPIO:0001391</v>
      </c>
      <c r="F71" s="29" t="str">
        <f>IFERROR(__xludf.DUMMYFUNCTION("""COMPUTED_VALUE"""),"The name of the disease experienced by the host.")</f>
        <v>The name of the disease experienced by the host.</v>
      </c>
      <c r="G71"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1" s="29" t="str">
        <f>IFERROR(__xludf.DUMMYFUNCTION("""COMPUTED_VALUE"""),"Mpox")</f>
        <v>Mpox</v>
      </c>
      <c r="I71" s="29"/>
      <c r="J71" s="29"/>
      <c r="K71" s="30" t="s">
        <v>19</v>
      </c>
      <c r="L71" s="30" t="s">
        <v>19</v>
      </c>
      <c r="M71" s="30" t="s">
        <v>19</v>
      </c>
      <c r="N71" s="31" t="str">
        <f>IFERROR(__xludf.DUMMYFUNCTION("""COMPUTED_VALUE"""),"Mpox")</f>
        <v>Mpox</v>
      </c>
      <c r="O71" s="29"/>
      <c r="P71" s="29"/>
      <c r="Q71" s="29"/>
      <c r="R71" s="29"/>
      <c r="S71" s="29"/>
      <c r="T71" s="29"/>
      <c r="U71" s="29"/>
      <c r="V71" s="29"/>
      <c r="W71" s="29"/>
      <c r="X71" s="29"/>
      <c r="Y71" s="29"/>
      <c r="Z71" s="29"/>
      <c r="AA71" s="29"/>
      <c r="AB71" s="29"/>
    </row>
    <row r="72">
      <c r="A72" s="29" t="str">
        <f>IFERROR(__xludf.DUMMYFUNCTION("""COMPUTED_VALUE"""),"Host Information")</f>
        <v>Host Information</v>
      </c>
      <c r="B72" s="29" t="str">
        <f>IFERROR(__xludf.DUMMYFUNCTION("""COMPUTED_VALUE"""),"host disease")</f>
        <v>host disease</v>
      </c>
      <c r="C72" s="29" t="b">
        <f>IFERROR(__xludf.DUMMYFUNCTION("""COMPUTED_VALUE"""),TRUE)</f>
        <v>1</v>
      </c>
      <c r="D72" s="29" t="str">
        <f>IFERROR(__xludf.DUMMYFUNCTION("""COMPUTED_VALUE"""),"")</f>
        <v/>
      </c>
      <c r="E72" s="29" t="str">
        <f>IFERROR(__xludf.DUMMYFUNCTION("""COMPUTED_VALUE"""),"GENEPIO:0001391")</f>
        <v>GENEPIO:0001391</v>
      </c>
      <c r="F72" s="29" t="str">
        <f>IFERROR(__xludf.DUMMYFUNCTION("""COMPUTED_VALUE"""),"The name of the disease experienced by the host.")</f>
        <v>The name of the disease experienced by the host.</v>
      </c>
      <c r="G72"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72" s="29" t="str">
        <f>IFERROR(__xludf.DUMMYFUNCTION("""COMPUTED_VALUE"""),"Mpox [MONDO:0002594]")</f>
        <v>Mpox [MONDO:0002594]</v>
      </c>
      <c r="I72" s="29"/>
      <c r="J72" s="29"/>
      <c r="K72" s="30" t="s">
        <v>19</v>
      </c>
      <c r="L72" s="30" t="s">
        <v>19</v>
      </c>
      <c r="M72" s="30" t="s">
        <v>19</v>
      </c>
      <c r="N72" s="31" t="str">
        <f>IFERROR(__xludf.DUMMYFUNCTION("""COMPUTED_VALUE"""),"MpoxInternational")</f>
        <v>MpoxInternational</v>
      </c>
      <c r="O72" s="29"/>
      <c r="P72" s="29"/>
      <c r="Q72" s="29"/>
      <c r="R72" s="29"/>
      <c r="S72" s="29"/>
      <c r="T72" s="29"/>
      <c r="U72" s="29"/>
      <c r="V72" s="29"/>
      <c r="W72" s="29"/>
      <c r="X72" s="29"/>
      <c r="Y72" s="29"/>
      <c r="Z72" s="29"/>
      <c r="AA72" s="29"/>
      <c r="AB72" s="29"/>
    </row>
    <row r="73">
      <c r="A73" s="29" t="str">
        <f>IFERROR(__xludf.DUMMYFUNCTION("""COMPUTED_VALUE"""),"Host Information")</f>
        <v>Host Information</v>
      </c>
      <c r="B73" s="29" t="str">
        <f>IFERROR(__xludf.DUMMYFUNCTION("""COMPUTED_VALUE"""),"host subject ID")</f>
        <v>host subject ID</v>
      </c>
      <c r="C73" s="29"/>
      <c r="D73" s="29"/>
      <c r="E73" s="29" t="str">
        <f>IFERROR(__xludf.DUMMYFUNCTION("""COMPUTED_VALUE"""),"GENEPIO:0001398")</f>
        <v>GENEPIO:0001398</v>
      </c>
      <c r="F73" s="29" t="str">
        <f>IFERROR(__xludf.DUMMYFUNCTION("""COMPUTED_VALUE"""),"A unique identifier by which each host can be referred to.")</f>
        <v>A unique identifier by which each host can be referred to.</v>
      </c>
      <c r="G73" s="29"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73" s="29" t="str">
        <f>IFERROR(__xludf.DUMMYFUNCTION("""COMPUTED_VALUE"""),"12345B-222")</f>
        <v>12345B-222</v>
      </c>
      <c r="I73" s="29"/>
      <c r="J73" s="29"/>
      <c r="K73" s="30" t="s">
        <v>19</v>
      </c>
      <c r="L73" s="30" t="s">
        <v>19</v>
      </c>
      <c r="M73" s="30" t="s">
        <v>19</v>
      </c>
      <c r="N73" s="31" t="str">
        <f>IFERROR(__xludf.DUMMYFUNCTION("""COMPUTED_VALUE"""),"MpoxInternational")</f>
        <v>MpoxInternational</v>
      </c>
      <c r="O73" s="29"/>
      <c r="P73" s="29"/>
      <c r="Q73" s="29"/>
      <c r="R73" s="29"/>
      <c r="S73" s="29"/>
      <c r="T73" s="29"/>
      <c r="U73" s="29"/>
      <c r="V73" s="29"/>
      <c r="W73" s="29"/>
      <c r="X73" s="29"/>
      <c r="Y73" s="29"/>
      <c r="Z73" s="29"/>
      <c r="AA73" s="29"/>
      <c r="AB73" s="29"/>
    </row>
    <row r="74">
      <c r="A74" s="29" t="str">
        <f>IFERROR(__xludf.DUMMYFUNCTION("""COMPUTED_VALUE"""),"Host Information")</f>
        <v>Host Information</v>
      </c>
      <c r="B74" s="29" t="str">
        <f>IFERROR(__xludf.DUMMYFUNCTION("""COMPUTED_VALUE"""),"host age")</f>
        <v>host age</v>
      </c>
      <c r="C74" s="29" t="b">
        <f>IFERROR(__xludf.DUMMYFUNCTION("""COMPUTED_VALUE"""),TRUE)</f>
        <v>1</v>
      </c>
      <c r="D74" s="29"/>
      <c r="E74" s="29" t="str">
        <f>IFERROR(__xludf.DUMMYFUNCTION("""COMPUTED_VALUE"""),"GENEPIO:0001392")</f>
        <v>GENEPIO:0001392</v>
      </c>
      <c r="F74" s="29" t="str">
        <f>IFERROR(__xludf.DUMMYFUNCTION("""COMPUTED_VALUE"""),"Age of host at the time of sampling.")</f>
        <v>Age of host at the time of sampling.</v>
      </c>
      <c r="G74" s="29" t="str">
        <f>IFERROR(__xludf.DUMMYFUNCTION("""COMPUTED_VALUE"""),"If known, provide age. Age-binning is also acceptable.")</f>
        <v>If known, provide age. Age-binning is also acceptable.</v>
      </c>
      <c r="H74" s="29">
        <f>IFERROR(__xludf.DUMMYFUNCTION("""COMPUTED_VALUE"""),79.0)</f>
        <v>79</v>
      </c>
      <c r="I74" s="29"/>
      <c r="J74" s="29"/>
      <c r="K74" s="30" t="s">
        <v>19</v>
      </c>
      <c r="L74" s="30" t="s">
        <v>19</v>
      </c>
      <c r="M74" s="30" t="s">
        <v>19</v>
      </c>
      <c r="N74" s="31" t="str">
        <f>IFERROR(__xludf.DUMMYFUNCTION("""COMPUTED_VALUE"""),"Mpox")</f>
        <v>Mpox</v>
      </c>
      <c r="O74" s="29"/>
      <c r="P74" s="29"/>
      <c r="Q74" s="29"/>
      <c r="R74" s="29"/>
      <c r="S74" s="29"/>
      <c r="T74" s="29"/>
      <c r="U74" s="29"/>
      <c r="V74" s="29"/>
      <c r="W74" s="29"/>
      <c r="X74" s="29"/>
      <c r="Y74" s="29"/>
      <c r="Z74" s="29"/>
      <c r="AA74" s="29"/>
      <c r="AB74" s="29"/>
    </row>
    <row r="75">
      <c r="A75" s="29" t="str">
        <f>IFERROR(__xludf.DUMMYFUNCTION("""COMPUTED_VALUE"""),"Host Information")</f>
        <v>Host Information</v>
      </c>
      <c r="B75" s="29" t="str">
        <f>IFERROR(__xludf.DUMMYFUNCTION("""COMPUTED_VALUE"""),"host age")</f>
        <v>host age</v>
      </c>
      <c r="C75" s="29"/>
      <c r="D75" s="29" t="b">
        <f>IFERROR(__xludf.DUMMYFUNCTION("""COMPUTED_VALUE"""),TRUE)</f>
        <v>1</v>
      </c>
      <c r="E75" s="29" t="str">
        <f>IFERROR(__xludf.DUMMYFUNCTION("""COMPUTED_VALUE"""),"GENEPIO:0001392")</f>
        <v>GENEPIO:0001392</v>
      </c>
      <c r="F75" s="29" t="str">
        <f>IFERROR(__xludf.DUMMYFUNCTION("""COMPUTED_VALUE"""),"Age of host at the time of sampling.")</f>
        <v>Age of host at the time of sampling.</v>
      </c>
      <c r="G75" s="29" t="str">
        <f>IFERROR(__xludf.DUMMYFUNCTION("""COMPUTED_VALUE"""),"If known, provide age. Age-binning is also acceptable.")</f>
        <v>If known, provide age. Age-binning is also acceptable.</v>
      </c>
      <c r="H75" s="29">
        <f>IFERROR(__xludf.DUMMYFUNCTION("""COMPUTED_VALUE"""),79.0)</f>
        <v>79</v>
      </c>
      <c r="I75" s="29"/>
      <c r="J75" s="29"/>
      <c r="K75" s="30" t="s">
        <v>19</v>
      </c>
      <c r="L75" s="30" t="s">
        <v>19</v>
      </c>
      <c r="M75" s="30" t="s">
        <v>19</v>
      </c>
      <c r="N75" s="31" t="str">
        <f>IFERROR(__xludf.DUMMYFUNCTION("""COMPUTED_VALUE"""),"MpoxInternational")</f>
        <v>MpoxInternational</v>
      </c>
      <c r="O75" s="29"/>
      <c r="P75" s="29"/>
      <c r="Q75" s="29"/>
      <c r="R75" s="29"/>
      <c r="S75" s="29"/>
      <c r="T75" s="29"/>
      <c r="U75" s="29"/>
      <c r="V75" s="29"/>
      <c r="W75" s="29"/>
      <c r="X75" s="29"/>
      <c r="Y75" s="29"/>
      <c r="Z75" s="29"/>
      <c r="AA75" s="29"/>
      <c r="AB75" s="29"/>
    </row>
    <row r="76">
      <c r="A76" s="29" t="str">
        <f>IFERROR(__xludf.DUMMYFUNCTION("""COMPUTED_VALUE"""),"Host Information")</f>
        <v>Host Information</v>
      </c>
      <c r="B76" s="29" t="str">
        <f>IFERROR(__xludf.DUMMYFUNCTION("""COMPUTED_VALUE"""),"host age unit")</f>
        <v>host age unit</v>
      </c>
      <c r="C76" s="29" t="b">
        <f>IFERROR(__xludf.DUMMYFUNCTION("""COMPUTED_VALUE"""),TRUE)</f>
        <v>1</v>
      </c>
      <c r="D76" s="29"/>
      <c r="E76" s="29" t="str">
        <f>IFERROR(__xludf.DUMMYFUNCTION("""COMPUTED_VALUE"""),"GENEPIO:0001393")</f>
        <v>GENEPIO:0001393</v>
      </c>
      <c r="F76" s="29" t="str">
        <f>IFERROR(__xludf.DUMMYFUNCTION("""COMPUTED_VALUE"""),"The units used to measure the host's age.")</f>
        <v>The units used to measure the host's age.</v>
      </c>
      <c r="G76" s="29" t="str">
        <f>IFERROR(__xludf.DUMMYFUNCTION("""COMPUTED_VALUE"""),"If known, provide the age units used to measure the host's age from the pick list.")</f>
        <v>If known, provide the age units used to measure the host's age from the pick list.</v>
      </c>
      <c r="H76" s="29" t="str">
        <f>IFERROR(__xludf.DUMMYFUNCTION("""COMPUTED_VALUE"""),"year ")</f>
        <v>year </v>
      </c>
      <c r="I76" s="29"/>
      <c r="J76" s="29"/>
      <c r="K76" s="30" t="s">
        <v>19</v>
      </c>
      <c r="L76" s="30" t="s">
        <v>19</v>
      </c>
      <c r="M76" s="30" t="s">
        <v>19</v>
      </c>
      <c r="N76" s="31" t="str">
        <f>IFERROR(__xludf.DUMMYFUNCTION("""COMPUTED_VALUE"""),"Mpox")</f>
        <v>Mpox</v>
      </c>
      <c r="O76" s="29"/>
      <c r="P76" s="29"/>
      <c r="Q76" s="29"/>
      <c r="R76" s="29"/>
      <c r="S76" s="29"/>
      <c r="T76" s="29"/>
      <c r="U76" s="29"/>
      <c r="V76" s="29"/>
      <c r="W76" s="29"/>
      <c r="X76" s="29"/>
      <c r="Y76" s="29"/>
      <c r="Z76" s="29"/>
      <c r="AA76" s="29"/>
      <c r="AB76" s="29"/>
    </row>
    <row r="77">
      <c r="A77" s="29" t="str">
        <f>IFERROR(__xludf.DUMMYFUNCTION("""COMPUTED_VALUE"""),"Host Information")</f>
        <v>Host Information</v>
      </c>
      <c r="B77" s="29" t="str">
        <f>IFERROR(__xludf.DUMMYFUNCTION("""COMPUTED_VALUE"""),"host age unit")</f>
        <v>host age unit</v>
      </c>
      <c r="C77" s="29"/>
      <c r="D77" s="29" t="b">
        <f>IFERROR(__xludf.DUMMYFUNCTION("""COMPUTED_VALUE"""),TRUE)</f>
        <v>1</v>
      </c>
      <c r="E77" s="29" t="str">
        <f>IFERROR(__xludf.DUMMYFUNCTION("""COMPUTED_VALUE"""),"GENEPIO:0001393")</f>
        <v>GENEPIO:0001393</v>
      </c>
      <c r="F77" s="29" t="str">
        <f>IFERROR(__xludf.DUMMYFUNCTION("""COMPUTED_VALUE"""),"The units used to measure the host's age.")</f>
        <v>The units used to measure the host's age.</v>
      </c>
      <c r="G77" s="29" t="str">
        <f>IFERROR(__xludf.DUMMYFUNCTION("""COMPUTED_VALUE"""),"If known, provide the age units used to measure the host's age from the pick list.")</f>
        <v>If known, provide the age units used to measure the host's age from the pick list.</v>
      </c>
      <c r="H77" s="29" t="str">
        <f>IFERROR(__xludf.DUMMYFUNCTION("""COMPUTED_VALUE"""),"year [UO:0000036]  ")</f>
        <v>year [UO:0000036]  </v>
      </c>
      <c r="I77" s="29"/>
      <c r="J77" s="29"/>
      <c r="K77" s="30" t="s">
        <v>19</v>
      </c>
      <c r="L77" s="30" t="s">
        <v>19</v>
      </c>
      <c r="M77" s="30" t="s">
        <v>19</v>
      </c>
      <c r="N77" s="31" t="str">
        <f>IFERROR(__xludf.DUMMYFUNCTION("""COMPUTED_VALUE"""),"MpoxInternational")</f>
        <v>MpoxInternational</v>
      </c>
      <c r="O77" s="29"/>
      <c r="P77" s="29"/>
      <c r="Q77" s="29"/>
      <c r="R77" s="29"/>
      <c r="S77" s="29"/>
      <c r="T77" s="29"/>
      <c r="U77" s="29"/>
      <c r="V77" s="29"/>
      <c r="W77" s="29"/>
      <c r="X77" s="29"/>
      <c r="Y77" s="29"/>
      <c r="Z77" s="29"/>
      <c r="AA77" s="29"/>
      <c r="AB77" s="29"/>
    </row>
    <row r="78">
      <c r="A78" s="29" t="str">
        <f>IFERROR(__xludf.DUMMYFUNCTION("""COMPUTED_VALUE"""),"Host Information")</f>
        <v>Host Information</v>
      </c>
      <c r="B78" s="29" t="str">
        <f>IFERROR(__xludf.DUMMYFUNCTION("""COMPUTED_VALUE"""),"host age bin")</f>
        <v>host age bin</v>
      </c>
      <c r="C78" s="29" t="b">
        <f>IFERROR(__xludf.DUMMYFUNCTION("""COMPUTED_VALUE"""),TRUE)</f>
        <v>1</v>
      </c>
      <c r="D78" s="29"/>
      <c r="E78" s="29" t="str">
        <f>IFERROR(__xludf.DUMMYFUNCTION("""COMPUTED_VALUE"""),"GENEPIO:0001394")</f>
        <v>GENEPIO:0001394</v>
      </c>
      <c r="F78" s="29" t="str">
        <f>IFERROR(__xludf.DUMMYFUNCTION("""COMPUTED_VALUE"""),"The age category of the host at the time of sampling.")</f>
        <v>The age category of the host at the time of sampling.</v>
      </c>
      <c r="G78"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8" s="29" t="str">
        <f>IFERROR(__xludf.DUMMYFUNCTION("""COMPUTED_VALUE"""),"50 - 59 ")</f>
        <v>50 - 59 </v>
      </c>
      <c r="I78" s="29"/>
      <c r="J78" s="29"/>
      <c r="K78" s="30" t="s">
        <v>19</v>
      </c>
      <c r="L78" s="30" t="s">
        <v>19</v>
      </c>
      <c r="M78" s="30" t="s">
        <v>19</v>
      </c>
      <c r="N78" s="31" t="str">
        <f>IFERROR(__xludf.DUMMYFUNCTION("""COMPUTED_VALUE"""),"Mpox")</f>
        <v>Mpox</v>
      </c>
      <c r="O78" s="29"/>
      <c r="P78" s="29"/>
      <c r="Q78" s="29"/>
      <c r="R78" s="29"/>
      <c r="S78" s="29"/>
      <c r="T78" s="29"/>
      <c r="U78" s="29"/>
      <c r="V78" s="29"/>
      <c r="W78" s="29"/>
      <c r="X78" s="29"/>
      <c r="Y78" s="29"/>
      <c r="Z78" s="29"/>
      <c r="AA78" s="29"/>
      <c r="AB78" s="29"/>
    </row>
    <row r="79">
      <c r="A79" s="29" t="str">
        <f>IFERROR(__xludf.DUMMYFUNCTION("""COMPUTED_VALUE"""),"Host Information")</f>
        <v>Host Information</v>
      </c>
      <c r="B79" s="29" t="str">
        <f>IFERROR(__xludf.DUMMYFUNCTION("""COMPUTED_VALUE"""),"host age bin")</f>
        <v>host age bin</v>
      </c>
      <c r="C79" s="29"/>
      <c r="D79" s="29" t="b">
        <f>IFERROR(__xludf.DUMMYFUNCTION("""COMPUTED_VALUE"""),TRUE)</f>
        <v>1</v>
      </c>
      <c r="E79" s="29" t="str">
        <f>IFERROR(__xludf.DUMMYFUNCTION("""COMPUTED_VALUE"""),"GENEPIO:0001394")</f>
        <v>GENEPIO:0001394</v>
      </c>
      <c r="F79" s="29" t="str">
        <f>IFERROR(__xludf.DUMMYFUNCTION("""COMPUTED_VALUE"""),"The age category of the host at the time of sampling.")</f>
        <v>The age category of the host at the time of sampling.</v>
      </c>
      <c r="G79"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9" s="29" t="str">
        <f>IFERROR(__xludf.DUMMYFUNCTION("""COMPUTED_VALUE"""),"50 - 59 [GENEPIO:0100054]")</f>
        <v>50 - 59 [GENEPIO:0100054]</v>
      </c>
      <c r="I79" s="29"/>
      <c r="J79" s="29"/>
      <c r="K79" s="30" t="s">
        <v>19</v>
      </c>
      <c r="L79" s="30" t="s">
        <v>19</v>
      </c>
      <c r="M79" s="30" t="s">
        <v>19</v>
      </c>
      <c r="N79" s="31" t="str">
        <f>IFERROR(__xludf.DUMMYFUNCTION("""COMPUTED_VALUE"""),"MpoxInternational")</f>
        <v>MpoxInternational</v>
      </c>
      <c r="O79" s="29"/>
      <c r="P79" s="29"/>
      <c r="Q79" s="29"/>
      <c r="R79" s="29"/>
      <c r="S79" s="29"/>
      <c r="T79" s="29"/>
      <c r="U79" s="29"/>
      <c r="V79" s="29"/>
      <c r="W79" s="29"/>
      <c r="X79" s="29"/>
      <c r="Y79" s="29"/>
      <c r="Z79" s="29"/>
      <c r="AA79" s="29"/>
      <c r="AB79" s="29"/>
    </row>
    <row r="80">
      <c r="A80" s="29" t="str">
        <f>IFERROR(__xludf.DUMMYFUNCTION("""COMPUTED_VALUE"""),"Host Information")</f>
        <v>Host Information</v>
      </c>
      <c r="B80" s="29" t="str">
        <f>IFERROR(__xludf.DUMMYFUNCTION("""COMPUTED_VALUE"""),"host gender")</f>
        <v>host gender</v>
      </c>
      <c r="C80" s="29" t="b">
        <f>IFERROR(__xludf.DUMMYFUNCTION("""COMPUTED_VALUE"""),TRUE)</f>
        <v>1</v>
      </c>
      <c r="D80" s="29"/>
      <c r="E80" s="29" t="str">
        <f>IFERROR(__xludf.DUMMYFUNCTION("""COMPUTED_VALUE"""),"GENEPIO:0001395")</f>
        <v>GENEPIO:0001395</v>
      </c>
      <c r="F80" s="29" t="str">
        <f>IFERROR(__xludf.DUMMYFUNCTION("""COMPUTED_VALUE"""),"The gender of the host at the time of sample collection.")</f>
        <v>The gender of the host at the time of sample collection.</v>
      </c>
      <c r="G80" s="29" t="str">
        <f>IFERROR(__xludf.DUMMYFUNCTION("""COMPUTED_VALUE"""),"If known, select a value from the pick list.")</f>
        <v>If known, select a value from the pick list.</v>
      </c>
      <c r="H80" s="29" t="str">
        <f>IFERROR(__xludf.DUMMYFUNCTION("""COMPUTED_VALUE"""),"Male ")</f>
        <v>Male </v>
      </c>
      <c r="I80" s="29"/>
      <c r="J80" s="29"/>
      <c r="K80" s="30" t="s">
        <v>19</v>
      </c>
      <c r="L80" s="30" t="s">
        <v>19</v>
      </c>
      <c r="M80" s="30" t="s">
        <v>19</v>
      </c>
      <c r="N80" s="31" t="str">
        <f>IFERROR(__xludf.DUMMYFUNCTION("""COMPUTED_VALUE"""),"Mpox")</f>
        <v>Mpox</v>
      </c>
      <c r="O80" s="29"/>
      <c r="P80" s="29"/>
      <c r="Q80" s="29"/>
      <c r="R80" s="29"/>
      <c r="S80" s="29"/>
      <c r="T80" s="29"/>
      <c r="U80" s="29"/>
      <c r="V80" s="29"/>
      <c r="W80" s="29"/>
      <c r="X80" s="29"/>
      <c r="Y80" s="29"/>
      <c r="Z80" s="29"/>
      <c r="AA80" s="29"/>
      <c r="AB80" s="29"/>
    </row>
    <row r="81">
      <c r="A81" s="29" t="str">
        <f>IFERROR(__xludf.DUMMYFUNCTION("""COMPUTED_VALUE"""),"Host Information")</f>
        <v>Host Information</v>
      </c>
      <c r="B81" s="29" t="str">
        <f>IFERROR(__xludf.DUMMYFUNCTION("""COMPUTED_VALUE"""),"host gender")</f>
        <v>host gender</v>
      </c>
      <c r="C81" s="29"/>
      <c r="D81" s="29" t="b">
        <f>IFERROR(__xludf.DUMMYFUNCTION("""COMPUTED_VALUE"""),TRUE)</f>
        <v>1</v>
      </c>
      <c r="E81" s="29" t="str">
        <f>IFERROR(__xludf.DUMMYFUNCTION("""COMPUTED_VALUE"""),"GENEPIO:0001395")</f>
        <v>GENEPIO:0001395</v>
      </c>
      <c r="F81" s="29" t="str">
        <f>IFERROR(__xludf.DUMMYFUNCTION("""COMPUTED_VALUE"""),"The gender of the host at the time of sample collection.")</f>
        <v>The gender of the host at the time of sample collection.</v>
      </c>
      <c r="G81" s="29" t="str">
        <f>IFERROR(__xludf.DUMMYFUNCTION("""COMPUTED_VALUE"""),"If known, select a value from the pick list.")</f>
        <v>If known, select a value from the pick list.</v>
      </c>
      <c r="H81" s="29" t="str">
        <f>IFERROR(__xludf.DUMMYFUNCTION("""COMPUTED_VALUE"""),"Male [NCIT:C46109]")</f>
        <v>Male [NCIT:C46109]</v>
      </c>
      <c r="I81" s="29"/>
      <c r="J81" s="29"/>
      <c r="K81" s="30" t="s">
        <v>19</v>
      </c>
      <c r="L81" s="30" t="s">
        <v>19</v>
      </c>
      <c r="M81" s="30" t="s">
        <v>19</v>
      </c>
      <c r="N81" s="31" t="str">
        <f>IFERROR(__xludf.DUMMYFUNCTION("""COMPUTED_VALUE"""),"MpoxInternational")</f>
        <v>MpoxInternational</v>
      </c>
      <c r="O81" s="29"/>
      <c r="P81" s="29"/>
      <c r="Q81" s="29"/>
      <c r="R81" s="29"/>
      <c r="S81" s="29"/>
      <c r="T81" s="29"/>
      <c r="U81" s="29"/>
      <c r="V81" s="29"/>
      <c r="W81" s="29"/>
      <c r="X81" s="29"/>
      <c r="Y81" s="29"/>
      <c r="Z81" s="29"/>
      <c r="AA81" s="29"/>
      <c r="AB81" s="29"/>
    </row>
    <row r="82">
      <c r="A82" s="29" t="str">
        <f>IFERROR(__xludf.DUMMYFUNCTION("""COMPUTED_VALUE"""),"Host Information")</f>
        <v>Host Information</v>
      </c>
      <c r="B82" s="29" t="str">
        <f>IFERROR(__xludf.DUMMYFUNCTION("""COMPUTED_VALUE"""),"host residence geo_loc name (country)")</f>
        <v>host residence geo_loc name (country)</v>
      </c>
      <c r="C82" s="29"/>
      <c r="D82" s="29"/>
      <c r="E82" s="29" t="str">
        <f>IFERROR(__xludf.DUMMYFUNCTION("""COMPUTED_VALUE"""),"GENEPIO:0001396")</f>
        <v>GENEPIO:0001396</v>
      </c>
      <c r="F82" s="29" t="str">
        <f>IFERROR(__xludf.DUMMYFUNCTION("""COMPUTED_VALUE"""),"The country of residence of the host.")</f>
        <v>The country of residence of the host.</v>
      </c>
      <c r="G82" s="29" t="str">
        <f>IFERROR(__xludf.DUMMYFUNCTION("""COMPUTED_VALUE"""),"Select the country name from pick list provided in the template.")</f>
        <v>Select the country name from pick list provided in the template.</v>
      </c>
      <c r="H82" s="29" t="str">
        <f>IFERROR(__xludf.DUMMYFUNCTION("""COMPUTED_VALUE"""),"Canada")</f>
        <v>Canada</v>
      </c>
      <c r="I82" s="29"/>
      <c r="J82" s="29"/>
      <c r="K82" s="30" t="s">
        <v>19</v>
      </c>
      <c r="L82" s="30" t="s">
        <v>19</v>
      </c>
      <c r="M82" s="30" t="s">
        <v>19</v>
      </c>
      <c r="N82" s="31" t="str">
        <f>IFERROR(__xludf.DUMMYFUNCTION("""COMPUTED_VALUE"""),"Mpox")</f>
        <v>Mpox</v>
      </c>
      <c r="O82" s="29"/>
      <c r="P82" s="29"/>
      <c r="Q82" s="29"/>
      <c r="R82" s="29"/>
      <c r="S82" s="29"/>
      <c r="T82" s="29"/>
      <c r="U82" s="29"/>
      <c r="V82" s="29"/>
      <c r="W82" s="29"/>
      <c r="X82" s="29"/>
      <c r="Y82" s="29"/>
      <c r="Z82" s="29"/>
      <c r="AA82" s="29"/>
      <c r="AB82" s="29"/>
    </row>
    <row r="83">
      <c r="A83" s="29" t="str">
        <f>IFERROR(__xludf.DUMMYFUNCTION("""COMPUTED_VALUE"""),"Host Information")</f>
        <v>Host Information</v>
      </c>
      <c r="B83" s="29" t="str">
        <f>IFERROR(__xludf.DUMMYFUNCTION("""COMPUTED_VALUE"""),"host residence geo_loc name (country)")</f>
        <v>host residence geo_loc name (country)</v>
      </c>
      <c r="C83" s="29"/>
      <c r="D83" s="29"/>
      <c r="E83" s="29" t="str">
        <f>IFERROR(__xludf.DUMMYFUNCTION("""COMPUTED_VALUE"""),"GENEPIO:0001396")</f>
        <v>GENEPIO:0001396</v>
      </c>
      <c r="F83" s="29" t="str">
        <f>IFERROR(__xludf.DUMMYFUNCTION("""COMPUTED_VALUE"""),"The country of residence of the host.")</f>
        <v>The country of residence of the host.</v>
      </c>
      <c r="G83" s="29" t="str">
        <f>IFERROR(__xludf.DUMMYFUNCTION("""COMPUTED_VALUE"""),"Select the country name from pick list provided in the template.")</f>
        <v>Select the country name from pick list provided in the template.</v>
      </c>
      <c r="H83" s="29" t="str">
        <f>IFERROR(__xludf.DUMMYFUNCTION("""COMPUTED_VALUE"""),"Canada [GAZ:00002560]")</f>
        <v>Canada [GAZ:00002560]</v>
      </c>
      <c r="I83" s="29"/>
      <c r="J83" s="29"/>
      <c r="K83" s="30" t="s">
        <v>19</v>
      </c>
      <c r="L83" s="30" t="s">
        <v>19</v>
      </c>
      <c r="M83" s="30" t="s">
        <v>19</v>
      </c>
      <c r="N83" s="31" t="str">
        <f>IFERROR(__xludf.DUMMYFUNCTION("""COMPUTED_VALUE"""),"MpoxInternational")</f>
        <v>MpoxInternational</v>
      </c>
      <c r="O83" s="29"/>
      <c r="P83" s="29"/>
      <c r="Q83" s="29"/>
      <c r="R83" s="29"/>
      <c r="S83" s="29"/>
      <c r="T83" s="29"/>
      <c r="U83" s="29"/>
      <c r="V83" s="29"/>
      <c r="W83" s="29"/>
      <c r="X83" s="29"/>
      <c r="Y83" s="29"/>
      <c r="Z83" s="29"/>
      <c r="AA83" s="29"/>
      <c r="AB83" s="29"/>
    </row>
    <row r="84">
      <c r="A84" s="29" t="str">
        <f>IFERROR(__xludf.DUMMYFUNCTION("""COMPUTED_VALUE"""),"Host Information")</f>
        <v>Host Information</v>
      </c>
      <c r="B84" s="29" t="str">
        <f>IFERROR(__xludf.DUMMYFUNCTION("""COMPUTED_VALUE"""),"host residence geo_loc name (state/province/territory)")</f>
        <v>host residence geo_loc name (state/province/territory)</v>
      </c>
      <c r="C84" s="29"/>
      <c r="D84" s="29"/>
      <c r="E84" s="29" t="str">
        <f>IFERROR(__xludf.DUMMYFUNCTION("""COMPUTED_VALUE"""),"GENEPIO:0001397")</f>
        <v>GENEPIO:0001397</v>
      </c>
      <c r="F84" s="29" t="str">
        <f>IFERROR(__xludf.DUMMYFUNCTION("""COMPUTED_VALUE"""),"The state/province/territory of residence of the host.")</f>
        <v>The state/province/territory of residence of the host.</v>
      </c>
      <c r="G84" s="29" t="str">
        <f>IFERROR(__xludf.DUMMYFUNCTION("""COMPUTED_VALUE"""),"Select the province/territory name from pick list provided in the template.")</f>
        <v>Select the province/territory name from pick list provided in the template.</v>
      </c>
      <c r="H84" s="29" t="str">
        <f>IFERROR(__xludf.DUMMYFUNCTION("""COMPUTED_VALUE"""),"Quebec")</f>
        <v>Quebec</v>
      </c>
      <c r="I84" s="29"/>
      <c r="J84" s="29"/>
      <c r="K84" s="30" t="s">
        <v>19</v>
      </c>
      <c r="L84" s="30" t="s">
        <v>19</v>
      </c>
      <c r="M84" s="30" t="s">
        <v>19</v>
      </c>
      <c r="N84" s="31" t="str">
        <f>IFERROR(__xludf.DUMMYFUNCTION("""COMPUTED_VALUE"""),"Mpox")</f>
        <v>Mpox</v>
      </c>
      <c r="O84" s="29"/>
      <c r="P84" s="29"/>
      <c r="Q84" s="29"/>
      <c r="R84" s="29"/>
      <c r="S84" s="29"/>
      <c r="T84" s="29"/>
      <c r="U84" s="29"/>
      <c r="V84" s="29"/>
      <c r="W84" s="29"/>
      <c r="X84" s="29"/>
      <c r="Y84" s="29"/>
      <c r="Z84" s="29"/>
      <c r="AA84" s="29"/>
      <c r="AB84" s="29"/>
    </row>
    <row r="85">
      <c r="A85" s="29" t="str">
        <f>IFERROR(__xludf.DUMMYFUNCTION("""COMPUTED_VALUE"""),"Host Information")</f>
        <v>Host Information</v>
      </c>
      <c r="B85" s="29" t="str">
        <f>IFERROR(__xludf.DUMMYFUNCTION("""COMPUTED_VALUE"""),"symptom onset date")</f>
        <v>symptom onset date</v>
      </c>
      <c r="C85" s="29"/>
      <c r="D85" s="29"/>
      <c r="E85" s="29" t="str">
        <f>IFERROR(__xludf.DUMMYFUNCTION("""COMPUTED_VALUE"""),"GENEPIO:0001399")</f>
        <v>GENEPIO:0001399</v>
      </c>
      <c r="F85" s="29" t="str">
        <f>IFERROR(__xludf.DUMMYFUNCTION("""COMPUTED_VALUE"""),"The date on which the symptoms began or were first noted.")</f>
        <v>The date on which the symptoms began or were first noted.</v>
      </c>
      <c r="G85" s="29" t="str">
        <f>IFERROR(__xludf.DUMMYFUNCTION("""COMPUTED_VALUE"""),"If known, provide the symptom onset date in ISO 8601 standard format ""YYYY-MM-DD"".")</f>
        <v>If known, provide the symptom onset date in ISO 8601 standard format "YYYY-MM-DD".</v>
      </c>
      <c r="H85" s="35">
        <f>IFERROR(__xludf.DUMMYFUNCTION("""COMPUTED_VALUE"""),44706.0)</f>
        <v>44706</v>
      </c>
      <c r="I85" s="29"/>
      <c r="J85" s="29"/>
      <c r="K85" s="30" t="s">
        <v>19</v>
      </c>
      <c r="L85" s="30" t="s">
        <v>19</v>
      </c>
      <c r="M85" s="30" t="s">
        <v>19</v>
      </c>
      <c r="N85" s="31" t="str">
        <f>IFERROR(__xludf.DUMMYFUNCTION("""COMPUTED_VALUE"""),"Mpox;MpoxInternational")</f>
        <v>Mpox;MpoxInternational</v>
      </c>
      <c r="O85" s="29"/>
      <c r="P85" s="29"/>
      <c r="Q85" s="29"/>
      <c r="R85" s="29"/>
      <c r="S85" s="29"/>
      <c r="T85" s="29"/>
      <c r="U85" s="29"/>
      <c r="V85" s="29"/>
      <c r="W85" s="29"/>
      <c r="X85" s="29"/>
      <c r="Y85" s="29"/>
      <c r="Z85" s="29"/>
      <c r="AA85" s="29"/>
      <c r="AB85" s="29"/>
    </row>
    <row r="86">
      <c r="A86" s="29" t="str">
        <f>IFERROR(__xludf.DUMMYFUNCTION("""COMPUTED_VALUE"""),"Host Information")</f>
        <v>Host Information</v>
      </c>
      <c r="B86" s="29" t="str">
        <f>IFERROR(__xludf.DUMMYFUNCTION("""COMPUTED_VALUE"""),"signs and symptoms")</f>
        <v>signs and symptoms</v>
      </c>
      <c r="C86" s="29"/>
      <c r="D86" s="29"/>
      <c r="E86" s="29" t="str">
        <f>IFERROR(__xludf.DUMMYFUNCTION("""COMPUTED_VALUE"""),"GENEPIO:0001400")</f>
        <v>GENEPIO:0001400</v>
      </c>
      <c r="F86"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6" s="29" t="str">
        <f>IFERROR(__xludf.DUMMYFUNCTION("""COMPUTED_VALUE"""),"Select all of the symptoms experienced by the host from the pick list.")</f>
        <v>Select all of the symptoms experienced by the host from the pick list.</v>
      </c>
      <c r="H86" s="29" t="str">
        <f>IFERROR(__xludf.DUMMYFUNCTION("""COMPUTED_VALUE"""),"Lesion (Pustule), Swollen Lymph Nodes, Myalgia (muscle pain)")</f>
        <v>Lesion (Pustule), Swollen Lymph Nodes, Myalgia (muscle pain)</v>
      </c>
      <c r="I86" s="29"/>
      <c r="J86" s="29"/>
      <c r="K86" s="30" t="s">
        <v>19</v>
      </c>
      <c r="L86" s="30" t="s">
        <v>19</v>
      </c>
      <c r="M86" s="30" t="s">
        <v>19</v>
      </c>
      <c r="N86" s="31" t="str">
        <f>IFERROR(__xludf.DUMMYFUNCTION("""COMPUTED_VALUE"""),"Mpox")</f>
        <v>Mpox</v>
      </c>
      <c r="O86" s="29"/>
      <c r="P86" s="29"/>
      <c r="Q86" s="29"/>
      <c r="R86" s="29"/>
      <c r="S86" s="29"/>
      <c r="T86" s="29"/>
      <c r="U86" s="29"/>
      <c r="V86" s="29"/>
      <c r="W86" s="29"/>
      <c r="X86" s="29"/>
      <c r="Y86" s="29"/>
      <c r="Z86" s="29"/>
      <c r="AA86" s="29"/>
      <c r="AB86" s="29"/>
    </row>
    <row r="87">
      <c r="A87" s="29" t="str">
        <f>IFERROR(__xludf.DUMMYFUNCTION("""COMPUTED_VALUE"""),"Host Information")</f>
        <v>Host Information</v>
      </c>
      <c r="B87" s="29" t="str">
        <f>IFERROR(__xludf.DUMMYFUNCTION("""COMPUTED_VALUE"""),"signs and symptoms")</f>
        <v>signs and symptoms</v>
      </c>
      <c r="C87" s="29"/>
      <c r="D87" s="29"/>
      <c r="E87" s="29" t="str">
        <f>IFERROR(__xludf.DUMMYFUNCTION("""COMPUTED_VALUE"""),"GENEPIO:0001400")</f>
        <v>GENEPIO:0001400</v>
      </c>
      <c r="F87"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7" s="29" t="str">
        <f>IFERROR(__xludf.DUMMYFUNCTION("""COMPUTED_VALUE"""),"Select all of the symptoms experienced by the host from the pick list.")</f>
        <v>Select all of the symptoms experienced by the host from the pick list.</v>
      </c>
      <c r="H87" s="29" t="str">
        <f>IFERROR(__xludf.DUMMYFUNCTION("""COMPUTED_VALUE"""),"Lesion (Pustule) [NCIT:C78582], Swollen Lymph Nodes [HP:0002716], Myalgia (muscle pain) [HP:0003326]")</f>
        <v>Lesion (Pustule) [NCIT:C78582], Swollen Lymph Nodes [HP:0002716], Myalgia (muscle pain) [HP:0003326]</v>
      </c>
      <c r="I87" s="29"/>
      <c r="J87" s="29"/>
      <c r="K87" s="30" t="s">
        <v>19</v>
      </c>
      <c r="L87" s="30" t="s">
        <v>19</v>
      </c>
      <c r="M87" s="30" t="s">
        <v>19</v>
      </c>
      <c r="N87" s="31" t="str">
        <f>IFERROR(__xludf.DUMMYFUNCTION("""COMPUTED_VALUE"""),"MpoxInternational")</f>
        <v>MpoxInternational</v>
      </c>
      <c r="O87" s="29"/>
      <c r="P87" s="29"/>
      <c r="Q87" s="29"/>
      <c r="R87" s="29"/>
      <c r="S87" s="29"/>
      <c r="T87" s="29"/>
      <c r="U87" s="29"/>
      <c r="V87" s="29"/>
      <c r="W87" s="29"/>
      <c r="X87" s="29"/>
      <c r="Y87" s="29"/>
      <c r="Z87" s="29"/>
      <c r="AA87" s="29"/>
      <c r="AB87" s="29"/>
    </row>
    <row r="88">
      <c r="A88" s="29" t="str">
        <f>IFERROR(__xludf.DUMMYFUNCTION("""COMPUTED_VALUE"""),"Host Information")</f>
        <v>Host Information</v>
      </c>
      <c r="B88" s="29" t="str">
        <f>IFERROR(__xludf.DUMMYFUNCTION("""COMPUTED_VALUE"""),"pre-existing conditions and risk factors")</f>
        <v>pre-existing conditions and risk factors</v>
      </c>
      <c r="C88" s="29" t="str">
        <f>IFERROR(__xludf.DUMMYFUNCTION("""COMPUTED_VALUE"""),"")</f>
        <v/>
      </c>
      <c r="D88" s="29" t="str">
        <f>IFERROR(__xludf.DUMMYFUNCTION("""COMPUTED_VALUE"""),"")</f>
        <v/>
      </c>
      <c r="E88" s="29" t="str">
        <f>IFERROR(__xludf.DUMMYFUNCTION("""COMPUTED_VALUE"""),"GENEPIO:0001401")</f>
        <v>GENEPIO:0001401</v>
      </c>
      <c r="F88"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8"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8" s="29"/>
      <c r="I88" s="29"/>
      <c r="J88" s="29"/>
      <c r="K88" s="30" t="s">
        <v>19</v>
      </c>
      <c r="L88" s="30" t="s">
        <v>19</v>
      </c>
      <c r="M88" s="30" t="s">
        <v>19</v>
      </c>
      <c r="N88" s="31" t="str">
        <f>IFERROR(__xludf.DUMMYFUNCTION("""COMPUTED_VALUE"""),"Mpox")</f>
        <v>Mpox</v>
      </c>
      <c r="O88" s="29"/>
      <c r="P88" s="29"/>
      <c r="Q88" s="29"/>
      <c r="R88" s="29"/>
      <c r="S88" s="29"/>
      <c r="T88" s="29"/>
      <c r="U88" s="29"/>
      <c r="V88" s="29"/>
      <c r="W88" s="29"/>
      <c r="X88" s="29"/>
      <c r="Y88" s="29"/>
      <c r="Z88" s="29"/>
      <c r="AA88" s="29"/>
      <c r="AB88" s="29"/>
    </row>
    <row r="89">
      <c r="A89" s="29" t="str">
        <f>IFERROR(__xludf.DUMMYFUNCTION("""COMPUTED_VALUE"""),"Host Information")</f>
        <v>Host Information</v>
      </c>
      <c r="B89" s="29" t="str">
        <f>IFERROR(__xludf.DUMMYFUNCTION("""COMPUTED_VALUE"""),"pre-existing conditions and risk factors")</f>
        <v>pre-existing conditions and risk factors</v>
      </c>
      <c r="C89" s="29" t="str">
        <f>IFERROR(__xludf.DUMMYFUNCTION("""COMPUTED_VALUE"""),"")</f>
        <v/>
      </c>
      <c r="D89" s="29" t="str">
        <f>IFERROR(__xludf.DUMMYFUNCTION("""COMPUTED_VALUE"""),"")</f>
        <v/>
      </c>
      <c r="E89" s="29" t="str">
        <f>IFERROR(__xludf.DUMMYFUNCTION("""COMPUTED_VALUE"""),"GENEPIO:0001401")</f>
        <v>GENEPIO:0001401</v>
      </c>
      <c r="F89"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9"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9" s="29"/>
      <c r="I89" s="29"/>
      <c r="J89" s="29"/>
      <c r="K89" s="30" t="s">
        <v>19</v>
      </c>
      <c r="L89" s="30" t="s">
        <v>19</v>
      </c>
      <c r="M89" s="30" t="s">
        <v>19</v>
      </c>
      <c r="N89" s="31" t="str">
        <f>IFERROR(__xludf.DUMMYFUNCTION("""COMPUTED_VALUE"""),"MpoxInternational")</f>
        <v>MpoxInternational</v>
      </c>
      <c r="O89" s="29"/>
      <c r="P89" s="29"/>
      <c r="Q89" s="29"/>
      <c r="R89" s="29"/>
      <c r="S89" s="29"/>
      <c r="T89" s="29"/>
      <c r="U89" s="29"/>
      <c r="V89" s="29"/>
      <c r="W89" s="29"/>
      <c r="X89" s="29"/>
      <c r="Y89" s="29"/>
      <c r="Z89" s="29"/>
      <c r="AA89" s="29"/>
      <c r="AB89" s="29"/>
    </row>
    <row r="90">
      <c r="A90" s="29" t="str">
        <f>IFERROR(__xludf.DUMMYFUNCTION("""COMPUTED_VALUE"""),"Host Information")</f>
        <v>Host Information</v>
      </c>
      <c r="B90" s="29" t="str">
        <f>IFERROR(__xludf.DUMMYFUNCTION("""COMPUTED_VALUE"""),"complications")</f>
        <v>complications</v>
      </c>
      <c r="C90" s="29"/>
      <c r="D90" s="29"/>
      <c r="E90" s="29" t="str">
        <f>IFERROR(__xludf.DUMMYFUNCTION("""COMPUTED_VALUE"""),"GENEPIO:0001402")</f>
        <v>GENEPIO:0001402</v>
      </c>
      <c r="F90" s="29" t="str">
        <f>IFERROR(__xludf.DUMMYFUNCTION("""COMPUTED_VALUE"""),"Patient medical complications that are believed to have occurred as a result of host disease.")</f>
        <v>Patient medical complications that are believed to have occurred as a result of host disease.</v>
      </c>
      <c r="G90"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0" s="29" t="str">
        <f>IFERROR(__xludf.DUMMYFUNCTION("""COMPUTED_VALUE"""),"Delayed wound healing (lesion healing) ")</f>
        <v>Delayed wound healing (lesion healing) </v>
      </c>
      <c r="I90" s="29"/>
      <c r="J90" s="29"/>
      <c r="K90" s="30" t="s">
        <v>19</v>
      </c>
      <c r="L90" s="30" t="s">
        <v>19</v>
      </c>
      <c r="M90" s="30" t="s">
        <v>19</v>
      </c>
      <c r="N90" s="31" t="str">
        <f>IFERROR(__xludf.DUMMYFUNCTION("""COMPUTED_VALUE"""),"Mpox")</f>
        <v>Mpox</v>
      </c>
      <c r="O90" s="29"/>
      <c r="P90" s="29"/>
      <c r="Q90" s="29"/>
      <c r="R90" s="29"/>
      <c r="S90" s="29"/>
      <c r="T90" s="29"/>
      <c r="U90" s="29"/>
      <c r="V90" s="29"/>
      <c r="W90" s="29"/>
      <c r="X90" s="29"/>
      <c r="Y90" s="29"/>
      <c r="Z90" s="29"/>
      <c r="AA90" s="29"/>
      <c r="AB90" s="29"/>
    </row>
    <row r="91">
      <c r="A91" s="29" t="str">
        <f>IFERROR(__xludf.DUMMYFUNCTION("""COMPUTED_VALUE"""),"Host Information")</f>
        <v>Host Information</v>
      </c>
      <c r="B91" s="29" t="str">
        <f>IFERROR(__xludf.DUMMYFUNCTION("""COMPUTED_VALUE"""),"complications")</f>
        <v>complications</v>
      </c>
      <c r="C91" s="29"/>
      <c r="D91" s="29"/>
      <c r="E91" s="29" t="str">
        <f>IFERROR(__xludf.DUMMYFUNCTION("""COMPUTED_VALUE"""),"GENEPIO:0001402")</f>
        <v>GENEPIO:0001402</v>
      </c>
      <c r="F91" s="29" t="str">
        <f>IFERROR(__xludf.DUMMYFUNCTION("""COMPUTED_VALUE"""),"Patient medical complications that are believed to have occurred as a result of host disease.")</f>
        <v>Patient medical complications that are believed to have occurred as a result of host disease.</v>
      </c>
      <c r="G91"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91" s="29" t="str">
        <f>IFERROR(__xludf.DUMMYFUNCTION("""COMPUTED_VALUE"""),"Delayed wound healing (lesion healing) [MP:0002908]")</f>
        <v>Delayed wound healing (lesion healing) [MP:0002908]</v>
      </c>
      <c r="I91" s="29"/>
      <c r="J91" s="29"/>
      <c r="K91" s="30" t="s">
        <v>19</v>
      </c>
      <c r="L91" s="30" t="s">
        <v>19</v>
      </c>
      <c r="M91" s="30" t="s">
        <v>19</v>
      </c>
      <c r="N91" s="31" t="str">
        <f>IFERROR(__xludf.DUMMYFUNCTION("""COMPUTED_VALUE"""),"MpoxInternational")</f>
        <v>MpoxInternational</v>
      </c>
      <c r="O91" s="29"/>
      <c r="P91" s="29"/>
      <c r="Q91" s="29"/>
      <c r="R91" s="29"/>
      <c r="S91" s="29"/>
      <c r="T91" s="29"/>
      <c r="U91" s="29"/>
      <c r="V91" s="29"/>
      <c r="W91" s="29"/>
      <c r="X91" s="29"/>
      <c r="Y91" s="29"/>
      <c r="Z91" s="29"/>
      <c r="AA91" s="29"/>
      <c r="AB91" s="29"/>
    </row>
    <row r="92">
      <c r="A92" s="29" t="str">
        <f>IFERROR(__xludf.DUMMYFUNCTION("""COMPUTED_VALUE"""),"Host Information")</f>
        <v>Host Information</v>
      </c>
      <c r="B92" s="29" t="str">
        <f>IFERROR(__xludf.DUMMYFUNCTION("""COMPUTED_VALUE"""),"antiviral therapy")</f>
        <v>antiviral therapy</v>
      </c>
      <c r="C92" s="29"/>
      <c r="D92" s="29"/>
      <c r="E92" s="29" t="str">
        <f>IFERROR(__xludf.DUMMYFUNCTION("""COMPUTED_VALUE"""),"GENEPIO:0100580")</f>
        <v>GENEPIO:0100580</v>
      </c>
      <c r="F92" s="29"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92" s="29"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92" s="29" t="str">
        <f>IFERROR(__xludf.DUMMYFUNCTION("""COMPUTED_VALUE"""),"Tecovirimat used to treat current Monkeypox infection; AZT administered for concurrent HIV infection")</f>
        <v>Tecovirimat used to treat current Monkeypox infection; AZT administered for concurrent HIV infection</v>
      </c>
      <c r="I92" s="29"/>
      <c r="J92" s="29"/>
      <c r="K92" s="30" t="s">
        <v>19</v>
      </c>
      <c r="L92" s="30" t="s">
        <v>19</v>
      </c>
      <c r="M92" s="30" t="s">
        <v>19</v>
      </c>
      <c r="N92" s="31" t="str">
        <f>IFERROR(__xludf.DUMMYFUNCTION("""COMPUTED_VALUE"""),"Mpox;MpoxInternational")</f>
        <v>Mpox;MpoxInternational</v>
      </c>
      <c r="O92" s="29"/>
      <c r="P92" s="29"/>
      <c r="Q92" s="29"/>
      <c r="R92" s="29"/>
      <c r="S92" s="29"/>
      <c r="T92" s="29"/>
      <c r="U92" s="29"/>
      <c r="V92" s="29"/>
      <c r="W92" s="29"/>
      <c r="X92" s="29"/>
      <c r="Y92" s="29"/>
      <c r="Z92" s="29"/>
      <c r="AA92" s="29"/>
      <c r="AB92" s="29"/>
    </row>
    <row r="93">
      <c r="A93" s="29"/>
      <c r="B93" s="29" t="str">
        <f>IFERROR(__xludf.DUMMYFUNCTION("""COMPUTED_VALUE"""),"Host vaccination information")</f>
        <v>Host vaccination information</v>
      </c>
      <c r="C93" s="29" t="str">
        <f>IFERROR(__xludf.DUMMYFUNCTION("""COMPUTED_VALUE"""),"")</f>
        <v/>
      </c>
      <c r="D93" s="29" t="str">
        <f>IFERROR(__xludf.DUMMYFUNCTION("""COMPUTED_VALUE"""),"")</f>
        <v/>
      </c>
      <c r="E93" s="29" t="str">
        <f>IFERROR(__xludf.DUMMYFUNCTION("""COMPUTED_VALUE"""),"GENEPIO:0001403")</f>
        <v>GENEPIO:0001403</v>
      </c>
      <c r="F93" s="29"/>
      <c r="G93" s="29"/>
      <c r="H93" s="29"/>
      <c r="I93" s="29"/>
      <c r="J93" s="29"/>
      <c r="K93" s="29"/>
      <c r="L93" s="29"/>
      <c r="M93" s="29"/>
      <c r="N93" s="31" t="str">
        <f>IFERROR(__xludf.DUMMYFUNCTION("""COMPUTED_VALUE"""),"Mpox;MpoxInternational")</f>
        <v>Mpox;MpoxInternational</v>
      </c>
      <c r="O93" s="29"/>
      <c r="P93" s="29"/>
      <c r="Q93" s="29"/>
      <c r="R93" s="29"/>
      <c r="S93" s="29"/>
      <c r="T93" s="29"/>
      <c r="U93" s="29"/>
      <c r="V93" s="29"/>
      <c r="W93" s="29"/>
      <c r="X93" s="29"/>
      <c r="Y93" s="29"/>
      <c r="Z93" s="29"/>
      <c r="AA93" s="29"/>
      <c r="AB93" s="29"/>
    </row>
    <row r="94">
      <c r="A94" s="29" t="str">
        <f>IFERROR(__xludf.DUMMYFUNCTION("""COMPUTED_VALUE"""),"Host vaccination information")</f>
        <v>Host vaccination information</v>
      </c>
      <c r="B94" s="29" t="str">
        <f>IFERROR(__xludf.DUMMYFUNCTION("""COMPUTED_VALUE"""),"host vaccination status")</f>
        <v>host vaccination status</v>
      </c>
      <c r="C94" s="29" t="str">
        <f>IFERROR(__xludf.DUMMYFUNCTION("""COMPUTED_VALUE"""),"")</f>
        <v/>
      </c>
      <c r="D94" s="29" t="str">
        <f>IFERROR(__xludf.DUMMYFUNCTION("""COMPUTED_VALUE"""),"")</f>
        <v/>
      </c>
      <c r="E94" s="29" t="str">
        <f>IFERROR(__xludf.DUMMYFUNCTION("""COMPUTED_VALUE"""),"GENEPIO:0001404")</f>
        <v>GENEPIO:0001404</v>
      </c>
      <c r="F94" s="29" t="str">
        <f>IFERROR(__xludf.DUMMYFUNCTION("""COMPUTED_VALUE"""),"The vaccination status of the host (fully vaccinated, partially vaccinated, or not vaccinated).")</f>
        <v>The vaccination status of the host (fully vaccinated, partially vaccinated, or not vaccinated).</v>
      </c>
      <c r="G94" s="29" t="str">
        <f>IFERROR(__xludf.DUMMYFUNCTION("""COMPUTED_VALUE"""),"Select the vaccination status of the host from the pick list.")</f>
        <v>Select the vaccination status of the host from the pick list.</v>
      </c>
      <c r="H94" s="29" t="str">
        <f>IFERROR(__xludf.DUMMYFUNCTION("""COMPUTED_VALUE"""),"Not Vaccinated ")</f>
        <v>Not Vaccinated </v>
      </c>
      <c r="I94" s="29"/>
      <c r="J94" s="29"/>
      <c r="K94" s="29"/>
      <c r="L94" s="29"/>
      <c r="M94" s="29"/>
      <c r="N94" s="31" t="str">
        <f>IFERROR(__xludf.DUMMYFUNCTION("""COMPUTED_VALUE"""),"Mpox")</f>
        <v>Mpox</v>
      </c>
      <c r="O94" s="29"/>
      <c r="P94" s="29"/>
      <c r="Q94" s="29"/>
      <c r="R94" s="29"/>
      <c r="S94" s="29"/>
      <c r="T94" s="29"/>
      <c r="U94" s="29"/>
      <c r="V94" s="29"/>
      <c r="W94" s="29"/>
      <c r="X94" s="29"/>
      <c r="Y94" s="29"/>
      <c r="Z94" s="29"/>
      <c r="AA94" s="29"/>
      <c r="AB94" s="29"/>
    </row>
    <row r="95">
      <c r="A95" s="29" t="str">
        <f>IFERROR(__xludf.DUMMYFUNCTION("""COMPUTED_VALUE"""),"Host vaccination information")</f>
        <v>Host vaccination information</v>
      </c>
      <c r="B95" s="29" t="str">
        <f>IFERROR(__xludf.DUMMYFUNCTION("""COMPUTED_VALUE"""),"host vaccination status")</f>
        <v>host vaccination status</v>
      </c>
      <c r="C95" s="29" t="str">
        <f>IFERROR(__xludf.DUMMYFUNCTION("""COMPUTED_VALUE"""),"")</f>
        <v/>
      </c>
      <c r="D95" s="29" t="str">
        <f>IFERROR(__xludf.DUMMYFUNCTION("""COMPUTED_VALUE"""),"")</f>
        <v/>
      </c>
      <c r="E95" s="29" t="str">
        <f>IFERROR(__xludf.DUMMYFUNCTION("""COMPUTED_VALUE"""),"GENEPIO:0001404")</f>
        <v>GENEPIO:0001404</v>
      </c>
      <c r="F95" s="29" t="str">
        <f>IFERROR(__xludf.DUMMYFUNCTION("""COMPUTED_VALUE"""),"The vaccination status of the host (fully vaccinated, partially vaccinated, or not vaccinated).")</f>
        <v>The vaccination status of the host (fully vaccinated, partially vaccinated, or not vaccinated).</v>
      </c>
      <c r="G95" s="29" t="str">
        <f>IFERROR(__xludf.DUMMYFUNCTION("""COMPUTED_VALUE"""),"Select the vaccination status of the host from the pick list.")</f>
        <v>Select the vaccination status of the host from the pick list.</v>
      </c>
      <c r="H95" s="29" t="str">
        <f>IFERROR(__xludf.DUMMYFUNCTION("""COMPUTED_VALUE"""),"Not Vaccinated [GENEPIO:0100102]")</f>
        <v>Not Vaccinated [GENEPIO:0100102]</v>
      </c>
      <c r="I95" s="29"/>
      <c r="J95" s="29"/>
      <c r="K95" s="30" t="s">
        <v>19</v>
      </c>
      <c r="L95" s="30" t="s">
        <v>19</v>
      </c>
      <c r="M95" s="30" t="s">
        <v>19</v>
      </c>
      <c r="N95" s="31" t="str">
        <f>IFERROR(__xludf.DUMMYFUNCTION("""COMPUTED_VALUE"""),"MpoxInternational")</f>
        <v>MpoxInternational</v>
      </c>
      <c r="O95" s="29"/>
      <c r="P95" s="29"/>
      <c r="Q95" s="29"/>
      <c r="R95" s="29"/>
      <c r="S95" s="29"/>
      <c r="T95" s="29"/>
      <c r="U95" s="29"/>
      <c r="V95" s="29"/>
      <c r="W95" s="29"/>
      <c r="X95" s="29"/>
      <c r="Y95" s="29"/>
      <c r="Z95" s="29"/>
      <c r="AA95" s="29"/>
      <c r="AB95" s="29"/>
    </row>
    <row r="96">
      <c r="A96" s="29" t="str">
        <f>IFERROR(__xludf.DUMMYFUNCTION("""COMPUTED_VALUE"""),"Host vaccination information")</f>
        <v>Host vaccination information</v>
      </c>
      <c r="B96" s="29" t="str">
        <f>IFERROR(__xludf.DUMMYFUNCTION("""COMPUTED_VALUE"""),"number of vaccine doses received")</f>
        <v>number of vaccine doses received</v>
      </c>
      <c r="C96" s="29" t="str">
        <f>IFERROR(__xludf.DUMMYFUNCTION("""COMPUTED_VALUE"""),"")</f>
        <v/>
      </c>
      <c r="D96" s="29" t="str">
        <f>IFERROR(__xludf.DUMMYFUNCTION("""COMPUTED_VALUE"""),"")</f>
        <v/>
      </c>
      <c r="E96" s="29" t="str">
        <f>IFERROR(__xludf.DUMMYFUNCTION("""COMPUTED_VALUE"""),"GENEPIO:0001406")</f>
        <v>GENEPIO:0001406</v>
      </c>
      <c r="F96" s="29" t="str">
        <f>IFERROR(__xludf.DUMMYFUNCTION("""COMPUTED_VALUE"""),"The number of doses of the vaccine recived by the host.")</f>
        <v>The number of doses of the vaccine recived by the host.</v>
      </c>
      <c r="G96" s="29" t="str">
        <f>IFERROR(__xludf.DUMMYFUNCTION("""COMPUTED_VALUE"""),"Record how many doses of the vaccine the host has received.")</f>
        <v>Record how many doses of the vaccine the host has received.</v>
      </c>
      <c r="H96" s="29">
        <f>IFERROR(__xludf.DUMMYFUNCTION("""COMPUTED_VALUE"""),1.0)</f>
        <v>1</v>
      </c>
      <c r="I96" s="29"/>
      <c r="J96" s="29"/>
      <c r="K96" s="30" t="s">
        <v>19</v>
      </c>
      <c r="L96" s="30" t="s">
        <v>19</v>
      </c>
      <c r="M96" s="30" t="s">
        <v>19</v>
      </c>
      <c r="N96" s="37" t="str">
        <f>IFERROR(__xludf.DUMMYFUNCTION("""COMPUTED_VALUE"""),"Mpox;MpoxInternational")</f>
        <v>Mpox;MpoxInternational</v>
      </c>
      <c r="O96" s="29"/>
      <c r="P96" s="29"/>
      <c r="Q96" s="29"/>
      <c r="R96" s="29"/>
      <c r="S96" s="29"/>
      <c r="T96" s="29"/>
      <c r="U96" s="29"/>
      <c r="V96" s="29"/>
      <c r="W96" s="29"/>
      <c r="X96" s="29"/>
      <c r="Y96" s="29"/>
      <c r="Z96" s="29"/>
      <c r="AA96" s="29"/>
      <c r="AB96" s="29"/>
    </row>
    <row r="97">
      <c r="A97" s="29" t="str">
        <f>IFERROR(__xludf.DUMMYFUNCTION("""COMPUTED_VALUE"""),"Host vaccination information")</f>
        <v>Host vaccination information</v>
      </c>
      <c r="B97" s="29" t="str">
        <f>IFERROR(__xludf.DUMMYFUNCTION("""COMPUTED_VALUE"""),"vaccination dose 1 vaccine name")</f>
        <v>vaccination dose 1 vaccine name</v>
      </c>
      <c r="C97" s="29" t="str">
        <f>IFERROR(__xludf.DUMMYFUNCTION("""COMPUTED_VALUE"""),"")</f>
        <v/>
      </c>
      <c r="D97" s="29" t="str">
        <f>IFERROR(__xludf.DUMMYFUNCTION("""COMPUTED_VALUE"""),"")</f>
        <v/>
      </c>
      <c r="E97" s="29" t="str">
        <f>IFERROR(__xludf.DUMMYFUNCTION("""COMPUTED_VALUE"""),"GENEPIO:0100313")</f>
        <v>GENEPIO:0100313</v>
      </c>
      <c r="F97" s="29" t="str">
        <f>IFERROR(__xludf.DUMMYFUNCTION("""COMPUTED_VALUE"""),"The name of the vaccine administered as the first dose of a vaccine regimen.")</f>
        <v>The name of the vaccine administered as the first dose of a vaccine regimen.</v>
      </c>
      <c r="G97" s="29" t="str">
        <f>IFERROR(__xludf.DUMMYFUNCTION("""COMPUTED_VALUE"""),"Provide the name and the corresponding manufacturer of the Smallpox vaccine administered as the first dose.")</f>
        <v>Provide the name and the corresponding manufacturer of the Smallpox vaccine administered as the first dose.</v>
      </c>
      <c r="H97" s="29" t="str">
        <f>IFERROR(__xludf.DUMMYFUNCTION("""COMPUTED_VALUE"""),"IMVAMUNE (Bavarian Nordic)")</f>
        <v>IMVAMUNE (Bavarian Nordic)</v>
      </c>
      <c r="I97" s="29"/>
      <c r="J97" s="29"/>
      <c r="K97" s="30" t="s">
        <v>19</v>
      </c>
      <c r="L97" s="30" t="s">
        <v>19</v>
      </c>
      <c r="M97" s="30" t="s">
        <v>19</v>
      </c>
      <c r="N97" s="31" t="str">
        <f>IFERROR(__xludf.DUMMYFUNCTION("""COMPUTED_VALUE"""),"Mpox;MpoxInternational")</f>
        <v>Mpox;MpoxInternational</v>
      </c>
      <c r="O97" s="29"/>
      <c r="P97" s="29"/>
      <c r="Q97" s="29"/>
      <c r="R97" s="29"/>
      <c r="S97" s="29"/>
      <c r="T97" s="29"/>
      <c r="U97" s="29"/>
      <c r="V97" s="29"/>
      <c r="W97" s="29"/>
      <c r="X97" s="29"/>
      <c r="Y97" s="29"/>
      <c r="Z97" s="29"/>
      <c r="AA97" s="29"/>
      <c r="AB97" s="29"/>
    </row>
    <row r="98">
      <c r="A98" s="29" t="str">
        <f>IFERROR(__xludf.DUMMYFUNCTION("""COMPUTED_VALUE"""),"Host vaccination information")</f>
        <v>Host vaccination information</v>
      </c>
      <c r="B98" s="29" t="str">
        <f>IFERROR(__xludf.DUMMYFUNCTION("""COMPUTED_VALUE"""),"vaccination dose 1 vaccination date")</f>
        <v>vaccination dose 1 vaccination date</v>
      </c>
      <c r="C98" s="29" t="str">
        <f>IFERROR(__xludf.DUMMYFUNCTION("""COMPUTED_VALUE"""),"")</f>
        <v/>
      </c>
      <c r="D98" s="29" t="str">
        <f>IFERROR(__xludf.DUMMYFUNCTION("""COMPUTED_VALUE"""),"")</f>
        <v/>
      </c>
      <c r="E98" s="29" t="str">
        <f>IFERROR(__xludf.DUMMYFUNCTION("""COMPUTED_VALUE"""),"GENEPIO:0100314")</f>
        <v>GENEPIO:0100314</v>
      </c>
      <c r="F98" s="29" t="str">
        <f>IFERROR(__xludf.DUMMYFUNCTION("""COMPUTED_VALUE"""),"The date the first dose of a vaccine was administered.")</f>
        <v>The date the first dose of a vaccine was administered.</v>
      </c>
      <c r="G98"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8" s="35">
        <f>IFERROR(__xludf.DUMMYFUNCTION("""COMPUTED_VALUE"""),44713.0)</f>
        <v>44713</v>
      </c>
      <c r="I98" s="29"/>
      <c r="J98" s="29"/>
      <c r="K98" s="30" t="s">
        <v>19</v>
      </c>
      <c r="L98" s="30" t="s">
        <v>19</v>
      </c>
      <c r="M98" s="30" t="s">
        <v>19</v>
      </c>
      <c r="N98" s="31" t="str">
        <f>IFERROR(__xludf.DUMMYFUNCTION("""COMPUTED_VALUE"""),"Mpox;MpoxInternational")</f>
        <v>Mpox;MpoxInternational</v>
      </c>
      <c r="O98" s="29"/>
      <c r="P98" s="29"/>
      <c r="Q98" s="29"/>
      <c r="R98" s="29"/>
      <c r="S98" s="29"/>
      <c r="T98" s="29"/>
      <c r="U98" s="29"/>
      <c r="V98" s="29"/>
      <c r="W98" s="29"/>
      <c r="X98" s="29"/>
      <c r="Y98" s="29"/>
      <c r="Z98" s="29"/>
      <c r="AA98" s="29"/>
      <c r="AB98" s="29"/>
    </row>
    <row r="99">
      <c r="A99" s="29" t="str">
        <f>IFERROR(__xludf.DUMMYFUNCTION("""COMPUTED_VALUE"""),"Host vaccination information")</f>
        <v>Host vaccination information</v>
      </c>
      <c r="B99" s="29" t="str">
        <f>IFERROR(__xludf.DUMMYFUNCTION("""COMPUTED_VALUE"""),"vaccination history")</f>
        <v>vaccination history</v>
      </c>
      <c r="C99" s="29" t="str">
        <f>IFERROR(__xludf.DUMMYFUNCTION("""COMPUTED_VALUE"""),"")</f>
        <v/>
      </c>
      <c r="D99" s="29" t="str">
        <f>IFERROR(__xludf.DUMMYFUNCTION("""COMPUTED_VALUE"""),"")</f>
        <v/>
      </c>
      <c r="E99" s="29" t="str">
        <f>IFERROR(__xludf.DUMMYFUNCTION("""COMPUTED_VALUE"""),"GENEPIO:0100321")</f>
        <v>GENEPIO:0100321</v>
      </c>
      <c r="F99"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9"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9" s="29" t="str">
        <f>IFERROR(__xludf.DUMMYFUNCTION("""COMPUTED_VALUE"""),"IMVAMUNE (Bavarian Nordic); 2022-06-01")</f>
        <v>IMVAMUNE (Bavarian Nordic); 2022-06-01</v>
      </c>
      <c r="I99" s="29"/>
      <c r="J99" s="29"/>
      <c r="K99" s="30" t="s">
        <v>19</v>
      </c>
      <c r="L99" s="30" t="s">
        <v>19</v>
      </c>
      <c r="M99" s="30" t="s">
        <v>19</v>
      </c>
      <c r="N99" s="31" t="str">
        <f>IFERROR(__xludf.DUMMYFUNCTION("""COMPUTED_VALUE"""),"Mpox;MpoxInternational")</f>
        <v>Mpox;MpoxInternational</v>
      </c>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31"/>
      <c r="O100" s="29"/>
      <c r="P100" s="29"/>
      <c r="Q100" s="29"/>
      <c r="R100" s="29"/>
      <c r="S100" s="29"/>
      <c r="T100" s="29"/>
      <c r="U100" s="29"/>
      <c r="V100" s="29"/>
      <c r="W100" s="29"/>
      <c r="X100" s="29"/>
      <c r="Y100" s="29"/>
      <c r="Z100" s="29"/>
      <c r="AA100" s="29"/>
      <c r="AB100" s="29"/>
    </row>
    <row r="101">
      <c r="A101" s="29"/>
      <c r="B101" s="29" t="str">
        <f>IFERROR(__xludf.DUMMYFUNCTION("""COMPUTED_VALUE"""),"Host exposure information")</f>
        <v>Host exposure information</v>
      </c>
      <c r="C101" s="29" t="str">
        <f>IFERROR(__xludf.DUMMYFUNCTION("""COMPUTED_VALUE"""),"")</f>
        <v/>
      </c>
      <c r="D101" s="29" t="str">
        <f>IFERROR(__xludf.DUMMYFUNCTION("""COMPUTED_VALUE"""),"")</f>
        <v/>
      </c>
      <c r="E101" s="29" t="str">
        <f>IFERROR(__xludf.DUMMYFUNCTION("""COMPUTED_VALUE"""),"GENEPIO:0001409")</f>
        <v>GENEPIO:0001409</v>
      </c>
      <c r="F101" s="29"/>
      <c r="G101" s="29"/>
      <c r="H101" s="29"/>
      <c r="I101" s="29"/>
      <c r="J101" s="29"/>
      <c r="K101" s="30"/>
      <c r="L101" s="30"/>
      <c r="M101" s="30"/>
      <c r="N101" s="31" t="str">
        <f>IFERROR(__xludf.DUMMYFUNCTION("""COMPUTED_VALUE"""),"Mpox;MpoxInternational")</f>
        <v>Mpox;MpoxInternational</v>
      </c>
      <c r="O101" s="29"/>
      <c r="P101" s="29"/>
      <c r="Q101" s="29"/>
      <c r="R101" s="29"/>
      <c r="S101" s="29"/>
      <c r="T101" s="29"/>
      <c r="U101" s="29"/>
      <c r="V101" s="29"/>
      <c r="W101" s="29"/>
      <c r="X101" s="29"/>
      <c r="Y101" s="29"/>
      <c r="Z101" s="29"/>
      <c r="AA101" s="29"/>
      <c r="AB101" s="29"/>
    </row>
    <row r="102">
      <c r="A102" s="29" t="str">
        <f>IFERROR(__xludf.DUMMYFUNCTION("""COMPUTED_VALUE"""),"Host exposure information")</f>
        <v>Host exposure information</v>
      </c>
      <c r="B102" s="29" t="str">
        <f>IFERROR(__xludf.DUMMYFUNCTION("""COMPUTED_VALUE"""),"location of exposure geo_loc name (country)")</f>
        <v>location of exposure geo_loc name (country)</v>
      </c>
      <c r="C102" s="29"/>
      <c r="D102" s="29"/>
      <c r="E102" s="29" t="str">
        <f>IFERROR(__xludf.DUMMYFUNCTION("""COMPUTED_VALUE"""),"GENEPIO:0001410")</f>
        <v>GENEPIO:0001410</v>
      </c>
      <c r="F102" s="29" t="str">
        <f>IFERROR(__xludf.DUMMYFUNCTION("""COMPUTED_VALUE"""),"The country where the host was likely exposed to the causative agent of the illness.")</f>
        <v>The country where the host was likely exposed to the causative agent of the illness.</v>
      </c>
      <c r="G102" s="29" t="str">
        <f>IFERROR(__xludf.DUMMYFUNCTION("""COMPUTED_VALUE"""),"Select the country name from the pick list provided in the template.")</f>
        <v>Select the country name from the pick list provided in the template.</v>
      </c>
      <c r="H102" s="29" t="str">
        <f>IFERROR(__xludf.DUMMYFUNCTION("""COMPUTED_VALUE"""),"Canada")</f>
        <v>Canada</v>
      </c>
      <c r="I102" s="29"/>
      <c r="J102" s="29"/>
      <c r="K102" s="30" t="s">
        <v>19</v>
      </c>
      <c r="L102" s="30" t="s">
        <v>19</v>
      </c>
      <c r="M102" s="30" t="s">
        <v>19</v>
      </c>
      <c r="N102" s="31" t="str">
        <f>IFERROR(__xludf.DUMMYFUNCTION("""COMPUTED_VALUE"""),"Mpox")</f>
        <v>Mpox</v>
      </c>
      <c r="O102" s="29"/>
      <c r="P102" s="29"/>
      <c r="Q102" s="29"/>
      <c r="R102" s="29"/>
      <c r="S102" s="29"/>
      <c r="T102" s="29"/>
      <c r="U102" s="29"/>
      <c r="V102" s="29"/>
      <c r="W102" s="29"/>
      <c r="X102" s="29"/>
      <c r="Y102" s="29"/>
      <c r="Z102" s="29"/>
      <c r="AA102" s="29"/>
      <c r="AB102" s="29"/>
    </row>
    <row r="103">
      <c r="A103" s="29" t="str">
        <f>IFERROR(__xludf.DUMMYFUNCTION("""COMPUTED_VALUE"""),"Host exposure information")</f>
        <v>Host exposure information</v>
      </c>
      <c r="B103" s="29" t="str">
        <f>IFERROR(__xludf.DUMMYFUNCTION("""COMPUTED_VALUE"""),"location of exposure geo_loc name (country)")</f>
        <v>location of exposure geo_loc name (country)</v>
      </c>
      <c r="C103" s="29"/>
      <c r="D103" s="29"/>
      <c r="E103" s="29" t="str">
        <f>IFERROR(__xludf.DUMMYFUNCTION("""COMPUTED_VALUE"""),"GENEPIO:0001410")</f>
        <v>GENEPIO:0001410</v>
      </c>
      <c r="F103" s="29" t="str">
        <f>IFERROR(__xludf.DUMMYFUNCTION("""COMPUTED_VALUE"""),"The country where the host was likely exposed to the causative agent of the illness.")</f>
        <v>The country where the host was likely exposed to the causative agent of the illness.</v>
      </c>
      <c r="G103" s="29" t="str">
        <f>IFERROR(__xludf.DUMMYFUNCTION("""COMPUTED_VALUE"""),"Select the country name from the pick list provided in the template.")</f>
        <v>Select the country name from the pick list provided in the template.</v>
      </c>
      <c r="H103" s="29" t="str">
        <f>IFERROR(__xludf.DUMMYFUNCTION("""COMPUTED_VALUE"""),"Canada [GAZ:00002560]")</f>
        <v>Canada [GAZ:00002560]</v>
      </c>
      <c r="I103" s="29"/>
      <c r="J103" s="29"/>
      <c r="K103" s="30" t="s">
        <v>19</v>
      </c>
      <c r="L103" s="30" t="s">
        <v>19</v>
      </c>
      <c r="M103" s="30" t="s">
        <v>19</v>
      </c>
      <c r="N103" s="31" t="str">
        <f>IFERROR(__xludf.DUMMYFUNCTION("""COMPUTED_VALUE"""),"MpoxInternational")</f>
        <v>MpoxInternational</v>
      </c>
      <c r="O103" s="29"/>
      <c r="P103" s="29"/>
      <c r="Q103" s="29"/>
      <c r="R103" s="29"/>
      <c r="S103" s="29"/>
      <c r="T103" s="29"/>
      <c r="U103" s="29"/>
      <c r="V103" s="29"/>
      <c r="W103" s="29"/>
      <c r="X103" s="29"/>
      <c r="Y103" s="29"/>
      <c r="Z103" s="29"/>
      <c r="AA103" s="29"/>
      <c r="AB103" s="29"/>
    </row>
    <row r="104">
      <c r="A104" s="29" t="str">
        <f>IFERROR(__xludf.DUMMYFUNCTION("""COMPUTED_VALUE"""),"Host exposure information")</f>
        <v>Host exposure information</v>
      </c>
      <c r="B104" s="29" t="str">
        <f>IFERROR(__xludf.DUMMYFUNCTION("""COMPUTED_VALUE"""),"destination of most recent travel (city)")</f>
        <v>destination of most recent travel (city)</v>
      </c>
      <c r="C104" s="29"/>
      <c r="D104" s="29"/>
      <c r="E104" s="29" t="str">
        <f>IFERROR(__xludf.DUMMYFUNCTION("""COMPUTED_VALUE"""),"GENEPIO:0001411")</f>
        <v>GENEPIO:0001411</v>
      </c>
      <c r="F104" s="29" t="str">
        <f>IFERROR(__xludf.DUMMYFUNCTION("""COMPUTED_VALUE"""),"The name of the city that was the destination of most recent travel.")</f>
        <v>The name of the city that was the destination of most recent travel.</v>
      </c>
      <c r="G104"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104" s="29" t="str">
        <f>IFERROR(__xludf.DUMMYFUNCTION("""COMPUTED_VALUE"""),"New York City ")</f>
        <v>New York City </v>
      </c>
      <c r="I104" s="29"/>
      <c r="J104" s="29"/>
      <c r="K104" s="30" t="s">
        <v>19</v>
      </c>
      <c r="L104" s="30" t="s">
        <v>19</v>
      </c>
      <c r="M104" s="30" t="s">
        <v>19</v>
      </c>
      <c r="N104" s="31" t="str">
        <f>IFERROR(__xludf.DUMMYFUNCTION("""COMPUTED_VALUE"""),"Mpox;MpoxInternational")</f>
        <v>Mpox;MpoxInternational</v>
      </c>
      <c r="O104" s="29"/>
      <c r="P104" s="29"/>
      <c r="Q104" s="29"/>
      <c r="R104" s="29"/>
      <c r="S104" s="29"/>
      <c r="T104" s="29"/>
      <c r="U104" s="29"/>
      <c r="V104" s="29"/>
      <c r="W104" s="29"/>
      <c r="X104" s="29"/>
      <c r="Y104" s="29"/>
      <c r="Z104" s="29"/>
      <c r="AA104" s="29"/>
      <c r="AB104" s="29"/>
    </row>
    <row r="105">
      <c r="A105" s="29" t="str">
        <f>IFERROR(__xludf.DUMMYFUNCTION("""COMPUTED_VALUE"""),"Host exposure information")</f>
        <v>Host exposure information</v>
      </c>
      <c r="B105" s="29" t="str">
        <f>IFERROR(__xludf.DUMMYFUNCTION("""COMPUTED_VALUE"""),"destination of most recent travel (state/province/territory)")</f>
        <v>destination of most recent travel (state/province/territory)</v>
      </c>
      <c r="C105" s="29"/>
      <c r="D105" s="29"/>
      <c r="E105" s="29" t="str">
        <f>IFERROR(__xludf.DUMMYFUNCTION("""COMPUTED_VALUE"""),"GENEPIO:0001412")</f>
        <v>GENEPIO:0001412</v>
      </c>
      <c r="F105" s="29" t="str">
        <f>IFERROR(__xludf.DUMMYFUNCTION("""COMPUTED_VALUE"""),"The name of the state/province/territory that was the destination of most recent travel.")</f>
        <v>The name of the state/province/territory that was the destination of most recent travel.</v>
      </c>
      <c r="G105" s="29" t="str">
        <f>IFERROR(__xludf.DUMMYFUNCTION("""COMPUTED_VALUE"""),"Select the province name from the pick list provided in the template.")</f>
        <v>Select the province name from the pick list provided in the template.</v>
      </c>
      <c r="H105" s="29"/>
      <c r="I105" s="29"/>
      <c r="J105" s="29"/>
      <c r="K105" s="30" t="s">
        <v>19</v>
      </c>
      <c r="L105" s="30" t="s">
        <v>19</v>
      </c>
      <c r="M105" s="30" t="s">
        <v>19</v>
      </c>
      <c r="N105" s="31" t="str">
        <f>IFERROR(__xludf.DUMMYFUNCTION("""COMPUTED_VALUE"""),"Mpox")</f>
        <v>Mpox</v>
      </c>
      <c r="O105" s="29"/>
      <c r="P105" s="29"/>
      <c r="Q105" s="29"/>
      <c r="R105" s="29"/>
      <c r="S105" s="29"/>
      <c r="T105" s="29"/>
      <c r="U105" s="29"/>
      <c r="V105" s="29"/>
      <c r="W105" s="29"/>
      <c r="X105" s="29"/>
      <c r="Y105" s="29"/>
      <c r="Z105" s="29"/>
      <c r="AA105" s="29"/>
      <c r="AB105" s="29"/>
    </row>
    <row r="106">
      <c r="A106" s="29" t="str">
        <f>IFERROR(__xludf.DUMMYFUNCTION("""COMPUTED_VALUE"""),"Host exposure information")</f>
        <v>Host exposure information</v>
      </c>
      <c r="B106" s="29" t="str">
        <f>IFERROR(__xludf.DUMMYFUNCTION("""COMPUTED_VALUE"""),"destination of most recent travel (state/province/territory)")</f>
        <v>destination of most recent travel (state/province/territory)</v>
      </c>
      <c r="C106" s="29"/>
      <c r="D106" s="29"/>
      <c r="E106" s="29" t="str">
        <f>IFERROR(__xludf.DUMMYFUNCTION("""COMPUTED_VALUE"""),"GENEPIO:0001412")</f>
        <v>GENEPIO:0001412</v>
      </c>
      <c r="F106" s="29" t="str">
        <f>IFERROR(__xludf.DUMMYFUNCTION("""COMPUTED_VALUE"""),"The name of the state/province/territory that was the destination of most recent travel.")</f>
        <v>The name of the state/province/territory that was the destination of most recent travel.</v>
      </c>
      <c r="G106" s="38"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106" s="29" t="str">
        <f>IFERROR(__xludf.DUMMYFUNCTION("""COMPUTED_VALUE"""),"California ")</f>
        <v>California </v>
      </c>
      <c r="I106" s="29"/>
      <c r="J106" s="29"/>
      <c r="K106" s="30" t="s">
        <v>19</v>
      </c>
      <c r="L106" s="30" t="s">
        <v>19</v>
      </c>
      <c r="M106" s="30" t="s">
        <v>19</v>
      </c>
      <c r="N106" s="31" t="str">
        <f>IFERROR(__xludf.DUMMYFUNCTION("""COMPUTED_VALUE"""),"MpoxInternational")</f>
        <v>MpoxInternational</v>
      </c>
      <c r="O106" s="29"/>
      <c r="P106" s="29"/>
      <c r="Q106" s="29"/>
      <c r="R106" s="29"/>
      <c r="S106" s="29"/>
      <c r="T106" s="29"/>
      <c r="U106" s="29"/>
      <c r="V106" s="29"/>
      <c r="W106" s="29"/>
      <c r="X106" s="29"/>
      <c r="Y106" s="29"/>
      <c r="Z106" s="29"/>
      <c r="AA106" s="29"/>
      <c r="AB106" s="29"/>
    </row>
    <row r="107">
      <c r="A107" s="29" t="str">
        <f>IFERROR(__xludf.DUMMYFUNCTION("""COMPUTED_VALUE"""),"Host exposure information")</f>
        <v>Host exposure information</v>
      </c>
      <c r="B107" s="29" t="str">
        <f>IFERROR(__xludf.DUMMYFUNCTION("""COMPUTED_VALUE"""),"destination of most recent travel (country)")</f>
        <v>destination of most recent travel (country)</v>
      </c>
      <c r="C107" s="29"/>
      <c r="D107" s="29"/>
      <c r="E107" s="29" t="str">
        <f>IFERROR(__xludf.DUMMYFUNCTION("""COMPUTED_VALUE"""),"GENEPIO:0001413")</f>
        <v>GENEPIO:0001413</v>
      </c>
      <c r="F107" s="29" t="str">
        <f>IFERROR(__xludf.DUMMYFUNCTION("""COMPUTED_VALUE"""),"The name of the country that was the destination of most recent travel.")</f>
        <v>The name of the country that was the destination of most recent travel.</v>
      </c>
      <c r="G107" s="29" t="str">
        <f>IFERROR(__xludf.DUMMYFUNCTION("""COMPUTED_VALUE"""),"Select the country name from the pick list provided in the template.")</f>
        <v>Select the country name from the pick list provided in the template.</v>
      </c>
      <c r="H107" s="29" t="str">
        <f>IFERROR(__xludf.DUMMYFUNCTION("""COMPUTED_VALUE"""),"Canada")</f>
        <v>Canada</v>
      </c>
      <c r="I107" s="29"/>
      <c r="J107" s="29"/>
      <c r="K107" s="30" t="s">
        <v>19</v>
      </c>
      <c r="L107" s="30" t="s">
        <v>19</v>
      </c>
      <c r="M107" s="30" t="s">
        <v>19</v>
      </c>
      <c r="N107" s="31" t="str">
        <f>IFERROR(__xludf.DUMMYFUNCTION("""COMPUTED_VALUE"""),"Mpox")</f>
        <v>Mpox</v>
      </c>
      <c r="O107" s="29"/>
      <c r="P107" s="29"/>
      <c r="Q107" s="29"/>
      <c r="R107" s="29"/>
      <c r="S107" s="29"/>
      <c r="T107" s="29"/>
      <c r="U107" s="29"/>
      <c r="V107" s="29"/>
      <c r="W107" s="29"/>
      <c r="X107" s="29"/>
      <c r="Y107" s="29"/>
      <c r="Z107" s="29"/>
      <c r="AA107" s="29"/>
      <c r="AB107" s="29"/>
    </row>
    <row r="108">
      <c r="A108" s="29" t="str">
        <f>IFERROR(__xludf.DUMMYFUNCTION("""COMPUTED_VALUE"""),"Host exposure information")</f>
        <v>Host exposure information</v>
      </c>
      <c r="B108" s="29" t="str">
        <f>IFERROR(__xludf.DUMMYFUNCTION("""COMPUTED_VALUE"""),"destination of most recent travel (country)")</f>
        <v>destination of most recent travel (country)</v>
      </c>
      <c r="C108" s="29"/>
      <c r="D108" s="29"/>
      <c r="E108" s="29" t="str">
        <f>IFERROR(__xludf.DUMMYFUNCTION("""COMPUTED_VALUE"""),"GENEPIO:0001413")</f>
        <v>GENEPIO:0001413</v>
      </c>
      <c r="F108" s="29" t="str">
        <f>IFERROR(__xludf.DUMMYFUNCTION("""COMPUTED_VALUE"""),"The name of the country that was the destination of most recent travel.")</f>
        <v>The name of the country that was the destination of most recent travel.</v>
      </c>
      <c r="G108" s="29" t="str">
        <f>IFERROR(__xludf.DUMMYFUNCTION("""COMPUTED_VALUE"""),"Select the country name from the pick list provided in the template.")</f>
        <v>Select the country name from the pick list provided in the template.</v>
      </c>
      <c r="H108" s="29" t="str">
        <f>IFERROR(__xludf.DUMMYFUNCTION("""COMPUTED_VALUE"""),"United Kingdom [GAZ:00002637]")</f>
        <v>United Kingdom [GAZ:00002637]</v>
      </c>
      <c r="I108" s="29"/>
      <c r="J108" s="29"/>
      <c r="K108" s="30" t="s">
        <v>19</v>
      </c>
      <c r="L108" s="30" t="s">
        <v>19</v>
      </c>
      <c r="M108" s="30" t="s">
        <v>19</v>
      </c>
      <c r="N108" s="31" t="str">
        <f>IFERROR(__xludf.DUMMYFUNCTION("""COMPUTED_VALUE"""),"MpoxInternational")</f>
        <v>MpoxInternational</v>
      </c>
      <c r="O108" s="29"/>
      <c r="P108" s="29"/>
      <c r="Q108" s="29"/>
      <c r="R108" s="29"/>
      <c r="S108" s="29"/>
      <c r="T108" s="29"/>
      <c r="U108" s="29"/>
      <c r="V108" s="29"/>
      <c r="W108" s="29"/>
      <c r="X108" s="29"/>
      <c r="Y108" s="29"/>
      <c r="Z108" s="29"/>
      <c r="AA108" s="29"/>
      <c r="AB108" s="29"/>
    </row>
    <row r="109">
      <c r="A109" s="29" t="str">
        <f>IFERROR(__xludf.DUMMYFUNCTION("""COMPUTED_VALUE"""),"Host exposure information")</f>
        <v>Host exposure information</v>
      </c>
      <c r="B109" s="29" t="str">
        <f>IFERROR(__xludf.DUMMYFUNCTION("""COMPUTED_VALUE"""),"most recent travel departure date")</f>
        <v>most recent travel departure date</v>
      </c>
      <c r="C109" s="29"/>
      <c r="D109" s="29"/>
      <c r="E109" s="29" t="str">
        <f>IFERROR(__xludf.DUMMYFUNCTION("""COMPUTED_VALUE"""),"GENEPIO:0001414")</f>
        <v>GENEPIO:0001414</v>
      </c>
      <c r="F109"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9" s="29" t="str">
        <f>IFERROR(__xludf.DUMMYFUNCTION("""COMPUTED_VALUE"""),"Provide the travel departure date.")</f>
        <v>Provide the travel departure date.</v>
      </c>
      <c r="H109" s="35">
        <f>IFERROR(__xludf.DUMMYFUNCTION("""COMPUTED_VALUE"""),43906.0)</f>
        <v>43906</v>
      </c>
      <c r="I109" s="29"/>
      <c r="J109" s="29"/>
      <c r="K109" s="30" t="s">
        <v>19</v>
      </c>
      <c r="L109" s="30" t="s">
        <v>19</v>
      </c>
      <c r="M109" s="30" t="s">
        <v>19</v>
      </c>
      <c r="N109" s="31" t="str">
        <f>IFERROR(__xludf.DUMMYFUNCTION("""COMPUTED_VALUE"""),"Mpox;MpoxInternational")</f>
        <v>Mpox;MpoxInternational</v>
      </c>
      <c r="O109" s="29"/>
      <c r="P109" s="29"/>
      <c r="Q109" s="29"/>
      <c r="R109" s="29"/>
      <c r="S109" s="29"/>
      <c r="T109" s="29"/>
      <c r="U109" s="29"/>
      <c r="V109" s="29"/>
      <c r="W109" s="29"/>
      <c r="X109" s="29"/>
      <c r="Y109" s="29"/>
      <c r="Z109" s="29"/>
      <c r="AA109" s="29"/>
      <c r="AB109" s="29"/>
    </row>
    <row r="110">
      <c r="A110" s="29" t="str">
        <f>IFERROR(__xludf.DUMMYFUNCTION("""COMPUTED_VALUE"""),"Host exposure information")</f>
        <v>Host exposure information</v>
      </c>
      <c r="B110" s="29" t="str">
        <f>IFERROR(__xludf.DUMMYFUNCTION("""COMPUTED_VALUE"""),"most recent travel return date")</f>
        <v>most recent travel return date</v>
      </c>
      <c r="C110" s="29"/>
      <c r="D110" s="29"/>
      <c r="E110" s="29" t="str">
        <f>IFERROR(__xludf.DUMMYFUNCTION("""COMPUTED_VALUE"""),"GENEPIO:0001415")</f>
        <v>GENEPIO:0001415</v>
      </c>
      <c r="F110" s="29" t="str">
        <f>IFERROR(__xludf.DUMMYFUNCTION("""COMPUTED_VALUE"""),"The date of a person's most recent return to some residence from a journey originating at that residence.")</f>
        <v>The date of a person's most recent return to some residence from a journey originating at that residence.</v>
      </c>
      <c r="G110" s="29" t="str">
        <f>IFERROR(__xludf.DUMMYFUNCTION("""COMPUTED_VALUE"""),"Provide the travel return date.")</f>
        <v>Provide the travel return date.</v>
      </c>
      <c r="H110" s="35">
        <f>IFERROR(__xludf.DUMMYFUNCTION("""COMPUTED_VALUE"""),43947.0)</f>
        <v>43947</v>
      </c>
      <c r="I110" s="29"/>
      <c r="J110" s="29"/>
      <c r="K110" s="30" t="s">
        <v>19</v>
      </c>
      <c r="L110" s="30" t="s">
        <v>19</v>
      </c>
      <c r="M110" s="30" t="s">
        <v>19</v>
      </c>
      <c r="N110" s="31" t="str">
        <f>IFERROR(__xludf.DUMMYFUNCTION("""COMPUTED_VALUE"""),"Mpox;MpoxInternational")</f>
        <v>Mpox;MpoxInternational</v>
      </c>
      <c r="O110" s="29"/>
      <c r="P110" s="29"/>
      <c r="Q110" s="29"/>
      <c r="R110" s="29"/>
      <c r="S110" s="29"/>
      <c r="T110" s="29"/>
      <c r="U110" s="29"/>
      <c r="V110" s="29"/>
      <c r="W110" s="29"/>
      <c r="X110" s="29"/>
      <c r="Y110" s="29"/>
      <c r="Z110" s="29"/>
      <c r="AA110" s="29"/>
      <c r="AB110" s="29"/>
    </row>
    <row r="111">
      <c r="A111" s="29" t="str">
        <f>IFERROR(__xludf.DUMMYFUNCTION("""COMPUTED_VALUE"""),"Host exposure information")</f>
        <v>Host exposure information</v>
      </c>
      <c r="B111" s="29" t="str">
        <f>IFERROR(__xludf.DUMMYFUNCTION("""COMPUTED_VALUE"""),"travel history")</f>
        <v>travel history</v>
      </c>
      <c r="C111" s="29" t="str">
        <f>IFERROR(__xludf.DUMMYFUNCTION("""COMPUTED_VALUE"""),"")</f>
        <v/>
      </c>
      <c r="D111" s="29" t="str">
        <f>IFERROR(__xludf.DUMMYFUNCTION("""COMPUTED_VALUE"""),"")</f>
        <v/>
      </c>
      <c r="E111" s="29" t="str">
        <f>IFERROR(__xludf.DUMMYFUNCTION("""COMPUTED_VALUE"""),"GENEPIO:0001416")</f>
        <v>GENEPIO:0001416</v>
      </c>
      <c r="F111" s="29" t="str">
        <f>IFERROR(__xludf.DUMMYFUNCTION("""COMPUTED_VALUE"""),"Travel history in last six months.")</f>
        <v>Travel history in last six months.</v>
      </c>
      <c r="G111"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11" s="29" t="str">
        <f>IFERROR(__xludf.DUMMYFUNCTION("""COMPUTED_VALUE"""),"Canada, Vancouver; USA, Seattle; Italy, Milan")</f>
        <v>Canada, Vancouver; USA, Seattle; Italy, Milan</v>
      </c>
      <c r="I111" s="29"/>
      <c r="J111" s="29"/>
      <c r="K111" s="30" t="s">
        <v>19</v>
      </c>
      <c r="L111" s="30" t="s">
        <v>19</v>
      </c>
      <c r="M111" s="30" t="s">
        <v>19</v>
      </c>
      <c r="N111" s="31" t="str">
        <f>IFERROR(__xludf.DUMMYFUNCTION("""COMPUTED_VALUE"""),"Mpox;MpoxInternational")</f>
        <v>Mpox;MpoxInternational</v>
      </c>
      <c r="O111" s="29"/>
      <c r="P111" s="29"/>
      <c r="Q111" s="29"/>
      <c r="R111" s="29"/>
      <c r="S111" s="29"/>
      <c r="T111" s="29"/>
      <c r="U111" s="29"/>
      <c r="V111" s="29"/>
      <c r="W111" s="29"/>
      <c r="X111" s="29"/>
      <c r="Y111" s="29"/>
      <c r="Z111" s="29"/>
      <c r="AA111" s="29"/>
      <c r="AB111" s="29"/>
    </row>
    <row r="112">
      <c r="A112" s="29" t="str">
        <f>IFERROR(__xludf.DUMMYFUNCTION("""COMPUTED_VALUE"""),"Host exposure information")</f>
        <v>Host exposure information</v>
      </c>
      <c r="B112" s="29" t="str">
        <f>IFERROR(__xludf.DUMMYFUNCTION("""COMPUTED_VALUE"""),"exposure event")</f>
        <v>exposure event</v>
      </c>
      <c r="C112" s="29" t="str">
        <f>IFERROR(__xludf.DUMMYFUNCTION("""COMPUTED_VALUE"""),"")</f>
        <v/>
      </c>
      <c r="D112" s="29" t="str">
        <f>IFERROR(__xludf.DUMMYFUNCTION("""COMPUTED_VALUE"""),"")</f>
        <v/>
      </c>
      <c r="E112" s="29" t="str">
        <f>IFERROR(__xludf.DUMMYFUNCTION("""COMPUTED_VALUE"""),"GENEPIO:0001417")</f>
        <v>GENEPIO:0001417</v>
      </c>
      <c r="F112" s="29" t="str">
        <f>IFERROR(__xludf.DUMMYFUNCTION("""COMPUTED_VALUE"""),"Event leading to exposure.")</f>
        <v>Event leading to exposure.</v>
      </c>
      <c r="G112"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2" s="29" t="str">
        <f>IFERROR(__xludf.DUMMYFUNCTION("""COMPUTED_VALUE"""),"Party ")</f>
        <v>Party </v>
      </c>
      <c r="I112" s="29"/>
      <c r="J112" s="29"/>
      <c r="K112" s="30" t="s">
        <v>19</v>
      </c>
      <c r="L112" s="30" t="s">
        <v>19</v>
      </c>
      <c r="M112" s="30" t="s">
        <v>19</v>
      </c>
      <c r="N112" s="31" t="str">
        <f>IFERROR(__xludf.DUMMYFUNCTION("""COMPUTED_VALUE"""),"Mpox")</f>
        <v>Mpox</v>
      </c>
      <c r="O112" s="29"/>
      <c r="P112" s="29"/>
      <c r="Q112" s="29"/>
      <c r="R112" s="29"/>
      <c r="S112" s="29"/>
      <c r="T112" s="29"/>
      <c r="U112" s="29"/>
      <c r="V112" s="29"/>
      <c r="W112" s="29"/>
      <c r="X112" s="29"/>
      <c r="Y112" s="29"/>
      <c r="Z112" s="29"/>
      <c r="AA112" s="29"/>
      <c r="AB112" s="29"/>
    </row>
    <row r="113">
      <c r="A113" s="29" t="str">
        <f>IFERROR(__xludf.DUMMYFUNCTION("""COMPUTED_VALUE"""),"Host exposure information")</f>
        <v>Host exposure information</v>
      </c>
      <c r="B113" s="29" t="str">
        <f>IFERROR(__xludf.DUMMYFUNCTION("""COMPUTED_VALUE"""),"exposure event")</f>
        <v>exposure event</v>
      </c>
      <c r="C113" s="29" t="str">
        <f>IFERROR(__xludf.DUMMYFUNCTION("""COMPUTED_VALUE"""),"")</f>
        <v/>
      </c>
      <c r="D113" s="29" t="str">
        <f>IFERROR(__xludf.DUMMYFUNCTION("""COMPUTED_VALUE"""),"")</f>
        <v/>
      </c>
      <c r="E113" s="29" t="str">
        <f>IFERROR(__xludf.DUMMYFUNCTION("""COMPUTED_VALUE"""),"GENEPIO:0001417")</f>
        <v>GENEPIO:0001417</v>
      </c>
      <c r="F113" s="29" t="str">
        <f>IFERROR(__xludf.DUMMYFUNCTION("""COMPUTED_VALUE"""),"Event leading to exposure.")</f>
        <v>Event leading to exposure.</v>
      </c>
      <c r="G113"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13" s="29" t="str">
        <f>IFERROR(__xludf.DUMMYFUNCTION("""COMPUTED_VALUE"""),"Party [PCO:0000035]")</f>
        <v>Party [PCO:0000035]</v>
      </c>
      <c r="I113" s="29"/>
      <c r="J113" s="29"/>
      <c r="K113" s="30" t="s">
        <v>19</v>
      </c>
      <c r="L113" s="30" t="s">
        <v>19</v>
      </c>
      <c r="M113" s="30" t="s">
        <v>19</v>
      </c>
      <c r="N113" s="31" t="str">
        <f>IFERROR(__xludf.DUMMYFUNCTION("""COMPUTED_VALUE"""),"MpoxInternational")</f>
        <v>MpoxInternational</v>
      </c>
      <c r="O113" s="29"/>
      <c r="P113" s="29"/>
      <c r="Q113" s="29"/>
      <c r="R113" s="29"/>
      <c r="S113" s="29"/>
      <c r="T113" s="29"/>
      <c r="U113" s="29"/>
      <c r="V113" s="29"/>
      <c r="W113" s="29"/>
      <c r="X113" s="29"/>
      <c r="Y113" s="29"/>
      <c r="Z113" s="29"/>
      <c r="AA113" s="29"/>
      <c r="AB113" s="29"/>
    </row>
    <row r="114">
      <c r="A114" s="29" t="str">
        <f>IFERROR(__xludf.DUMMYFUNCTION("""COMPUTED_VALUE"""),"Host exposure information")</f>
        <v>Host exposure information</v>
      </c>
      <c r="B114" s="29" t="str">
        <f>IFERROR(__xludf.DUMMYFUNCTION("""COMPUTED_VALUE"""),"exposure contact level")</f>
        <v>exposure contact level</v>
      </c>
      <c r="C114" s="29" t="str">
        <f>IFERROR(__xludf.DUMMYFUNCTION("""COMPUTED_VALUE"""),"")</f>
        <v/>
      </c>
      <c r="D114" s="29" t="str">
        <f>IFERROR(__xludf.DUMMYFUNCTION("""COMPUTED_VALUE"""),"")</f>
        <v/>
      </c>
      <c r="E114" s="29" t="str">
        <f>IFERROR(__xludf.DUMMYFUNCTION("""COMPUTED_VALUE"""),"GENEPIO:0001418")</f>
        <v>GENEPIO:0001418</v>
      </c>
      <c r="F114" s="29" t="str">
        <f>IFERROR(__xludf.DUMMYFUNCTION("""COMPUTED_VALUE"""),"The exposure transmission contact type.")</f>
        <v>The exposure transmission contact type.</v>
      </c>
      <c r="G114" s="29" t="str">
        <f>IFERROR(__xludf.DUMMYFUNCTION("""COMPUTED_VALUE"""),"Select exposure contact level from the pick-list.")</f>
        <v>Select exposure contact level from the pick-list.</v>
      </c>
      <c r="H114" s="29" t="str">
        <f>IFERROR(__xludf.DUMMYFUNCTION("""COMPUTED_VALUE"""),"Contact with infected individual ")</f>
        <v>Contact with infected individual </v>
      </c>
      <c r="I114" s="29"/>
      <c r="J114" s="29"/>
      <c r="K114" s="30" t="s">
        <v>19</v>
      </c>
      <c r="L114" s="30" t="s">
        <v>19</v>
      </c>
      <c r="M114" s="30" t="s">
        <v>19</v>
      </c>
      <c r="N114" s="31" t="str">
        <f>IFERROR(__xludf.DUMMYFUNCTION("""COMPUTED_VALUE"""),"Mpox")</f>
        <v>Mpox</v>
      </c>
      <c r="O114" s="29"/>
      <c r="P114" s="29"/>
      <c r="Q114" s="29"/>
      <c r="R114" s="29"/>
      <c r="S114" s="29"/>
      <c r="T114" s="29"/>
      <c r="U114" s="29"/>
      <c r="V114" s="29"/>
      <c r="W114" s="29"/>
      <c r="X114" s="29"/>
      <c r="Y114" s="29"/>
      <c r="Z114" s="29"/>
      <c r="AA114" s="29"/>
      <c r="AB114" s="29"/>
    </row>
    <row r="115">
      <c r="A115" s="29" t="str">
        <f>IFERROR(__xludf.DUMMYFUNCTION("""COMPUTED_VALUE"""),"Host exposure information")</f>
        <v>Host exposure information</v>
      </c>
      <c r="B115" s="29" t="str">
        <f>IFERROR(__xludf.DUMMYFUNCTION("""COMPUTED_VALUE"""),"exposure contact level")</f>
        <v>exposure contact level</v>
      </c>
      <c r="C115" s="29" t="str">
        <f>IFERROR(__xludf.DUMMYFUNCTION("""COMPUTED_VALUE"""),"")</f>
        <v/>
      </c>
      <c r="D115" s="29" t="str">
        <f>IFERROR(__xludf.DUMMYFUNCTION("""COMPUTED_VALUE"""),"")</f>
        <v/>
      </c>
      <c r="E115" s="29" t="str">
        <f>IFERROR(__xludf.DUMMYFUNCTION("""COMPUTED_VALUE"""),"GENEPIO:0001418")</f>
        <v>GENEPIO:0001418</v>
      </c>
      <c r="F115" s="29" t="str">
        <f>IFERROR(__xludf.DUMMYFUNCTION("""COMPUTED_VALUE"""),"The exposure transmission contact type.")</f>
        <v>The exposure transmission contact type.</v>
      </c>
      <c r="G115" s="29" t="str">
        <f>IFERROR(__xludf.DUMMYFUNCTION("""COMPUTED_VALUE"""),"Select exposure contact level from the pick-list.")</f>
        <v>Select exposure contact level from the pick-list.</v>
      </c>
      <c r="H115" s="29" t="str">
        <f>IFERROR(__xludf.DUMMYFUNCTION("""COMPUTED_VALUE"""),"Contact with infected individual [GENEPIO:0100357]")</f>
        <v>Contact with infected individual [GENEPIO:0100357]</v>
      </c>
      <c r="I115" s="29"/>
      <c r="J115" s="29"/>
      <c r="K115" s="30" t="s">
        <v>19</v>
      </c>
      <c r="L115" s="30" t="s">
        <v>19</v>
      </c>
      <c r="M115" s="30" t="s">
        <v>19</v>
      </c>
      <c r="N115" s="31" t="str">
        <f>IFERROR(__xludf.DUMMYFUNCTION("""COMPUTED_VALUE"""),"MpoxInternational")</f>
        <v>MpoxInternational</v>
      </c>
      <c r="O115" s="29"/>
      <c r="P115" s="29"/>
      <c r="Q115" s="29"/>
      <c r="R115" s="29"/>
      <c r="S115" s="29"/>
      <c r="T115" s="29"/>
      <c r="U115" s="29"/>
      <c r="V115" s="29"/>
      <c r="W115" s="29"/>
      <c r="X115" s="29"/>
      <c r="Y115" s="29"/>
      <c r="Z115" s="29"/>
      <c r="AA115" s="29"/>
      <c r="AB115" s="29"/>
    </row>
    <row r="116">
      <c r="A116" s="29" t="str">
        <f>IFERROR(__xludf.DUMMYFUNCTION("""COMPUTED_VALUE"""),"Host exposure information")</f>
        <v>Host exposure information</v>
      </c>
      <c r="B116" s="29" t="str">
        <f>IFERROR(__xludf.DUMMYFUNCTION("""COMPUTED_VALUE"""),"host role")</f>
        <v>host role</v>
      </c>
      <c r="C116" s="29" t="str">
        <f>IFERROR(__xludf.DUMMYFUNCTION("""COMPUTED_VALUE"""),"")</f>
        <v/>
      </c>
      <c r="D116" s="29" t="str">
        <f>IFERROR(__xludf.DUMMYFUNCTION("""COMPUTED_VALUE"""),"")</f>
        <v/>
      </c>
      <c r="E116" s="29" t="str">
        <f>IFERROR(__xludf.DUMMYFUNCTION("""COMPUTED_VALUE"""),"GENEPIO:0001419")</f>
        <v>GENEPIO:0001419</v>
      </c>
      <c r="F116" s="29" t="str">
        <f>IFERROR(__xludf.DUMMYFUNCTION("""COMPUTED_VALUE"""),"The role of the host in relation to the exposure setting.")</f>
        <v>The role of the host in relation to the exposure setting.</v>
      </c>
      <c r="G116"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6" s="29" t="str">
        <f>IFERROR(__xludf.DUMMYFUNCTION("""COMPUTED_VALUE"""),"Acquaintance of case ")</f>
        <v>Acquaintance of case </v>
      </c>
      <c r="I116" s="29"/>
      <c r="J116" s="29"/>
      <c r="K116" s="30" t="s">
        <v>19</v>
      </c>
      <c r="L116" s="30" t="s">
        <v>19</v>
      </c>
      <c r="M116" s="30" t="s">
        <v>19</v>
      </c>
      <c r="N116" s="31" t="str">
        <f>IFERROR(__xludf.DUMMYFUNCTION("""COMPUTED_VALUE"""),"Mpox")</f>
        <v>Mpox</v>
      </c>
      <c r="O116" s="29"/>
      <c r="P116" s="29"/>
      <c r="Q116" s="29"/>
      <c r="R116" s="29"/>
      <c r="S116" s="29"/>
      <c r="T116" s="29"/>
      <c r="U116" s="29"/>
      <c r="V116" s="29"/>
      <c r="W116" s="29"/>
      <c r="X116" s="29"/>
      <c r="Y116" s="29"/>
      <c r="Z116" s="29"/>
      <c r="AA116" s="29"/>
      <c r="AB116" s="29"/>
    </row>
    <row r="117">
      <c r="A117" s="29" t="str">
        <f>IFERROR(__xludf.DUMMYFUNCTION("""COMPUTED_VALUE"""),"Host exposure information")</f>
        <v>Host exposure information</v>
      </c>
      <c r="B117" s="29" t="str">
        <f>IFERROR(__xludf.DUMMYFUNCTION("""COMPUTED_VALUE"""),"host role")</f>
        <v>host role</v>
      </c>
      <c r="C117" s="29" t="str">
        <f>IFERROR(__xludf.DUMMYFUNCTION("""COMPUTED_VALUE"""),"")</f>
        <v/>
      </c>
      <c r="D117" s="29" t="str">
        <f>IFERROR(__xludf.DUMMYFUNCTION("""COMPUTED_VALUE"""),"")</f>
        <v/>
      </c>
      <c r="E117" s="29" t="str">
        <f>IFERROR(__xludf.DUMMYFUNCTION("""COMPUTED_VALUE"""),"GENEPIO:0001419")</f>
        <v>GENEPIO:0001419</v>
      </c>
      <c r="F117" s="29" t="str">
        <f>IFERROR(__xludf.DUMMYFUNCTION("""COMPUTED_VALUE"""),"The role of the host in relation to the exposure setting.")</f>
        <v>The role of the host in relation to the exposure setting.</v>
      </c>
      <c r="G117"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7" s="29" t="str">
        <f>IFERROR(__xludf.DUMMYFUNCTION("""COMPUTED_VALUE"""),"Acquaintance of case [GENEPIO:0100266]")</f>
        <v>Acquaintance of case [GENEPIO:0100266]</v>
      </c>
      <c r="I117" s="29"/>
      <c r="J117" s="29"/>
      <c r="K117" s="30" t="s">
        <v>19</v>
      </c>
      <c r="L117" s="30" t="s">
        <v>19</v>
      </c>
      <c r="M117" s="30" t="s">
        <v>19</v>
      </c>
      <c r="N117" s="39" t="str">
        <f>IFERROR(__xludf.DUMMYFUNCTION("""COMPUTED_VALUE"""),"MpoxInternational")</f>
        <v>MpoxInternational</v>
      </c>
      <c r="O117" s="29"/>
      <c r="P117" s="29"/>
      <c r="Q117" s="29"/>
      <c r="R117" s="29"/>
      <c r="S117" s="29"/>
      <c r="T117" s="29"/>
      <c r="U117" s="29"/>
      <c r="V117" s="29"/>
      <c r="W117" s="29"/>
      <c r="X117" s="29"/>
      <c r="Y117" s="29"/>
      <c r="Z117" s="29"/>
      <c r="AA117" s="29"/>
      <c r="AB117" s="29"/>
    </row>
    <row r="118">
      <c r="A118" s="29" t="str">
        <f>IFERROR(__xludf.DUMMYFUNCTION("""COMPUTED_VALUE"""),"Host exposure information")</f>
        <v>Host exposure information</v>
      </c>
      <c r="B118" s="29" t="str">
        <f>IFERROR(__xludf.DUMMYFUNCTION("""COMPUTED_VALUE"""),"exposure setting")</f>
        <v>exposure setting</v>
      </c>
      <c r="C118" s="29" t="str">
        <f>IFERROR(__xludf.DUMMYFUNCTION("""COMPUTED_VALUE"""),"")</f>
        <v/>
      </c>
      <c r="D118" s="29" t="str">
        <f>IFERROR(__xludf.DUMMYFUNCTION("""COMPUTED_VALUE"""),"")</f>
        <v/>
      </c>
      <c r="E118" s="29" t="str">
        <f>IFERROR(__xludf.DUMMYFUNCTION("""COMPUTED_VALUE"""),"GENEPIO:0001428")</f>
        <v>GENEPIO:0001428</v>
      </c>
      <c r="F118" s="29" t="str">
        <f>IFERROR(__xludf.DUMMYFUNCTION("""COMPUTED_VALUE"""),"The setting leading to exposure.")</f>
        <v>The setting leading to exposure.</v>
      </c>
      <c r="G118"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8" s="29" t="str">
        <f>IFERROR(__xludf.DUMMYFUNCTION("""COMPUTED_VALUE"""),"Healthcare Setting ")</f>
        <v>Healthcare Setting </v>
      </c>
      <c r="I118" s="29"/>
      <c r="J118" s="29"/>
      <c r="K118" s="30" t="s">
        <v>19</v>
      </c>
      <c r="L118" s="30" t="s">
        <v>19</v>
      </c>
      <c r="M118" s="30" t="s">
        <v>19</v>
      </c>
      <c r="N118" s="31" t="str">
        <f>IFERROR(__xludf.DUMMYFUNCTION("""COMPUTED_VALUE"""),"Mpox")</f>
        <v>Mpox</v>
      </c>
      <c r="O118" s="29"/>
      <c r="P118" s="29"/>
      <c r="Q118" s="29"/>
      <c r="R118" s="29"/>
      <c r="S118" s="29"/>
      <c r="T118" s="29"/>
      <c r="U118" s="29"/>
      <c r="V118" s="29"/>
      <c r="W118" s="29"/>
      <c r="X118" s="29"/>
      <c r="Y118" s="29"/>
      <c r="Z118" s="29"/>
      <c r="AA118" s="29"/>
      <c r="AB118" s="29"/>
    </row>
    <row r="119">
      <c r="A119" s="29" t="str">
        <f>IFERROR(__xludf.DUMMYFUNCTION("""COMPUTED_VALUE"""),"Host exposure information")</f>
        <v>Host exposure information</v>
      </c>
      <c r="B119" s="29" t="str">
        <f>IFERROR(__xludf.DUMMYFUNCTION("""COMPUTED_VALUE"""),"exposure setting")</f>
        <v>exposure setting</v>
      </c>
      <c r="C119" s="29" t="str">
        <f>IFERROR(__xludf.DUMMYFUNCTION("""COMPUTED_VALUE"""),"")</f>
        <v/>
      </c>
      <c r="D119" s="29" t="str">
        <f>IFERROR(__xludf.DUMMYFUNCTION("""COMPUTED_VALUE"""),"")</f>
        <v/>
      </c>
      <c r="E119" s="29" t="str">
        <f>IFERROR(__xludf.DUMMYFUNCTION("""COMPUTED_VALUE"""),"GENEPIO:0001428")</f>
        <v>GENEPIO:0001428</v>
      </c>
      <c r="F119" s="29" t="str">
        <f>IFERROR(__xludf.DUMMYFUNCTION("""COMPUTED_VALUE"""),"The setting leading to exposure.")</f>
        <v>The setting leading to exposure.</v>
      </c>
      <c r="G119"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9" s="29" t="str">
        <f>IFERROR(__xludf.DUMMYFUNCTION("""COMPUTED_VALUE"""),"Healthcare Setting [GENEPIO:0100201]")</f>
        <v>Healthcare Setting [GENEPIO:0100201]</v>
      </c>
      <c r="I119" s="29"/>
      <c r="J119" s="29"/>
      <c r="K119" s="30" t="s">
        <v>19</v>
      </c>
      <c r="L119" s="30" t="s">
        <v>19</v>
      </c>
      <c r="M119" s="30" t="s">
        <v>19</v>
      </c>
      <c r="N119" s="31" t="str">
        <f>IFERROR(__xludf.DUMMYFUNCTION("""COMPUTED_VALUE"""),"MpoxInternational")</f>
        <v>MpoxInternational</v>
      </c>
      <c r="O119" s="29"/>
      <c r="P119" s="29"/>
      <c r="Q119" s="29"/>
      <c r="R119" s="29"/>
      <c r="S119" s="29"/>
      <c r="T119" s="29"/>
      <c r="U119" s="29"/>
      <c r="V119" s="29"/>
      <c r="W119" s="29"/>
      <c r="X119" s="29"/>
      <c r="Y119" s="29"/>
      <c r="Z119" s="29"/>
      <c r="AA119" s="29"/>
      <c r="AB119" s="29"/>
    </row>
    <row r="120">
      <c r="A120" s="29" t="str">
        <f>IFERROR(__xludf.DUMMYFUNCTION("""COMPUTED_VALUE"""),"Host exposure information")</f>
        <v>Host exposure information</v>
      </c>
      <c r="B120" s="29" t="str">
        <f>IFERROR(__xludf.DUMMYFUNCTION("""COMPUTED_VALUE"""),"exposure details")</f>
        <v>exposure details</v>
      </c>
      <c r="C120" s="29" t="str">
        <f>IFERROR(__xludf.DUMMYFUNCTION("""COMPUTED_VALUE"""),"")</f>
        <v/>
      </c>
      <c r="D120" s="29" t="str">
        <f>IFERROR(__xludf.DUMMYFUNCTION("""COMPUTED_VALUE"""),"")</f>
        <v/>
      </c>
      <c r="E120" s="29" t="str">
        <f>IFERROR(__xludf.DUMMYFUNCTION("""COMPUTED_VALUE"""),"GENEPIO:0001431")</f>
        <v>GENEPIO:0001431</v>
      </c>
      <c r="F120" s="29" t="str">
        <f>IFERROR(__xludf.DUMMYFUNCTION("""COMPUTED_VALUE"""),"Additional host exposure information.")</f>
        <v>Additional host exposure information.</v>
      </c>
      <c r="G120" s="29" t="str">
        <f>IFERROR(__xludf.DUMMYFUNCTION("""COMPUTED_VALUE"""),"Free text description of the exposure.")</f>
        <v>Free text description of the exposure.</v>
      </c>
      <c r="H120" s="29" t="str">
        <f>IFERROR(__xludf.DUMMYFUNCTION("""COMPUTED_VALUE"""),"Large party, many contacts")</f>
        <v>Large party, many contacts</v>
      </c>
      <c r="I120" s="29"/>
      <c r="J120" s="29"/>
      <c r="K120" s="30" t="s">
        <v>19</v>
      </c>
      <c r="L120" s="30" t="s">
        <v>19</v>
      </c>
      <c r="M120" s="30" t="s">
        <v>19</v>
      </c>
      <c r="N120" s="31" t="str">
        <f>IFERROR(__xludf.DUMMYFUNCTION("""COMPUTED_VALUE"""),"Mpox;MpoxInternational")</f>
        <v>Mpox;MpoxInternational</v>
      </c>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30"/>
      <c r="L121" s="30"/>
      <c r="M121" s="30"/>
      <c r="N121" s="31"/>
      <c r="O121" s="29"/>
      <c r="P121" s="29"/>
      <c r="Q121" s="29"/>
      <c r="R121" s="29"/>
      <c r="S121" s="29"/>
      <c r="T121" s="29"/>
      <c r="U121" s="29"/>
      <c r="V121" s="29"/>
      <c r="W121" s="29"/>
      <c r="X121" s="29"/>
      <c r="Y121" s="29"/>
      <c r="Z121" s="29"/>
      <c r="AA121" s="29"/>
      <c r="AB121" s="29"/>
    </row>
    <row r="122">
      <c r="A122" s="29"/>
      <c r="B122" s="29" t="str">
        <f>IFERROR(__xludf.DUMMYFUNCTION("""COMPUTED_VALUE"""),"Host reinfection information")</f>
        <v>Host reinfection information</v>
      </c>
      <c r="C122" s="29" t="str">
        <f>IFERROR(__xludf.DUMMYFUNCTION("""COMPUTED_VALUE"""),"")</f>
        <v/>
      </c>
      <c r="D122" s="29" t="str">
        <f>IFERROR(__xludf.DUMMYFUNCTION("""COMPUTED_VALUE"""),"")</f>
        <v/>
      </c>
      <c r="E122" s="29" t="str">
        <f>IFERROR(__xludf.DUMMYFUNCTION("""COMPUTED_VALUE"""),"GENEPIO:0001434")</f>
        <v>GENEPIO:0001434</v>
      </c>
      <c r="F122" s="29"/>
      <c r="G122" s="29"/>
      <c r="H122" s="29"/>
      <c r="I122" s="29"/>
      <c r="J122" s="29"/>
      <c r="K122" s="30"/>
      <c r="L122" s="30"/>
      <c r="M122" s="30"/>
      <c r="N122" s="31" t="str">
        <f>IFERROR(__xludf.DUMMYFUNCTION("""COMPUTED_VALUE"""),"Mpox;MpoxInternational")</f>
        <v>Mpox;MpoxInternational</v>
      </c>
      <c r="O122" s="29"/>
      <c r="P122" s="29"/>
      <c r="Q122" s="29"/>
      <c r="R122" s="29"/>
      <c r="S122" s="29"/>
      <c r="T122" s="29"/>
      <c r="U122" s="29"/>
      <c r="V122" s="29"/>
      <c r="W122" s="29"/>
      <c r="X122" s="29"/>
      <c r="Y122" s="29"/>
      <c r="Z122" s="29"/>
      <c r="AA122" s="29"/>
      <c r="AB122" s="29"/>
    </row>
    <row r="123">
      <c r="A123" s="29" t="str">
        <f>IFERROR(__xludf.DUMMYFUNCTION("""COMPUTED_VALUE"""),"Host reinfection information")</f>
        <v>Host reinfection information</v>
      </c>
      <c r="B123" s="29" t="str">
        <f>IFERROR(__xludf.DUMMYFUNCTION("""COMPUTED_VALUE"""),"prior Mpox infection")</f>
        <v>prior Mpox infection</v>
      </c>
      <c r="C123" s="29"/>
      <c r="D123" s="29"/>
      <c r="E123" s="33" t="str">
        <f>IFERROR(__xludf.DUMMYFUNCTION("""COMPUTED_VALUE"""),"GENEPIO:0100532")</f>
        <v>GENEPIO:0100532</v>
      </c>
      <c r="F123" s="29" t="str">
        <f>IFERROR(__xludf.DUMMYFUNCTION("""COMPUTED_VALUE"""),"The absence or presence of a prior Mpox infection.")</f>
        <v>The absence or presence of a prior Mpox infection.</v>
      </c>
      <c r="G123"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3" s="29" t="str">
        <f>IFERROR(__xludf.DUMMYFUNCTION("""COMPUTED_VALUE"""),"Prior infection ")</f>
        <v>Prior infection </v>
      </c>
      <c r="I123" s="29"/>
      <c r="J123" s="29"/>
      <c r="K123" s="30" t="s">
        <v>19</v>
      </c>
      <c r="L123" s="30" t="s">
        <v>19</v>
      </c>
      <c r="M123" s="30" t="s">
        <v>19</v>
      </c>
      <c r="N123" s="31" t="str">
        <f>IFERROR(__xludf.DUMMYFUNCTION("""COMPUTED_VALUE"""),"Mpox")</f>
        <v>Mpox</v>
      </c>
      <c r="O123" s="29"/>
      <c r="P123" s="29"/>
      <c r="Q123" s="29"/>
      <c r="R123" s="29"/>
      <c r="S123" s="29"/>
      <c r="T123" s="29"/>
      <c r="U123" s="29"/>
      <c r="V123" s="29"/>
      <c r="W123" s="29"/>
      <c r="X123" s="29"/>
      <c r="Y123" s="29"/>
      <c r="Z123" s="29"/>
      <c r="AA123" s="29"/>
      <c r="AB123" s="29"/>
    </row>
    <row r="124">
      <c r="A124" s="29" t="str">
        <f>IFERROR(__xludf.DUMMYFUNCTION("""COMPUTED_VALUE"""),"Host reinfection information")</f>
        <v>Host reinfection information</v>
      </c>
      <c r="B124" s="29" t="str">
        <f>IFERROR(__xludf.DUMMYFUNCTION("""COMPUTED_VALUE"""),"prior Mpox infection")</f>
        <v>prior Mpox infection</v>
      </c>
      <c r="C124" s="29"/>
      <c r="D124" s="29"/>
      <c r="E124" s="33" t="str">
        <f>IFERROR(__xludf.DUMMYFUNCTION("""COMPUTED_VALUE"""),"GENEPIO:0100532")</f>
        <v>GENEPIO:0100532</v>
      </c>
      <c r="F124" s="29" t="str">
        <f>IFERROR(__xludf.DUMMYFUNCTION("""COMPUTED_VALUE"""),"The absence or presence of a prior Mpox infection.")</f>
        <v>The absence or presence of a prior Mpox infection.</v>
      </c>
      <c r="G124"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4" s="29" t="str">
        <f>IFERROR(__xludf.DUMMYFUNCTION("""COMPUTED_VALUE"""),"Prior infection [GENEPIO:0100037]")</f>
        <v>Prior infection [GENEPIO:0100037]</v>
      </c>
      <c r="I124" s="29"/>
      <c r="J124" s="29"/>
      <c r="K124" s="30" t="s">
        <v>19</v>
      </c>
      <c r="L124" s="30" t="s">
        <v>19</v>
      </c>
      <c r="M124" s="30" t="s">
        <v>19</v>
      </c>
      <c r="N124" s="31" t="str">
        <f>IFERROR(__xludf.DUMMYFUNCTION("""COMPUTED_VALUE"""),"MpoxInternational")</f>
        <v>MpoxInternational</v>
      </c>
      <c r="O124" s="29"/>
      <c r="P124" s="29"/>
      <c r="Q124" s="29"/>
      <c r="R124" s="29"/>
      <c r="S124" s="29"/>
      <c r="T124" s="29"/>
      <c r="U124" s="29"/>
      <c r="V124" s="29"/>
      <c r="W124" s="29"/>
      <c r="X124" s="29"/>
      <c r="Y124" s="29"/>
      <c r="Z124" s="29"/>
      <c r="AA124" s="29"/>
      <c r="AB124" s="29"/>
    </row>
    <row r="125">
      <c r="A125" s="29" t="str">
        <f>IFERROR(__xludf.DUMMYFUNCTION("""COMPUTED_VALUE"""),"Host reinfection information")</f>
        <v>Host reinfection information</v>
      </c>
      <c r="B125" s="29" t="str">
        <f>IFERROR(__xludf.DUMMYFUNCTION("""COMPUTED_VALUE"""),"prior Mpox infection date")</f>
        <v>prior Mpox infection date</v>
      </c>
      <c r="C125" s="29"/>
      <c r="D125" s="29"/>
      <c r="E125" s="33" t="str">
        <f>IFERROR(__xludf.DUMMYFUNCTION("""COMPUTED_VALUE"""),"GENEPIO:0100533")</f>
        <v>GENEPIO:0100533</v>
      </c>
      <c r="F125" s="29" t="str">
        <f>IFERROR(__xludf.DUMMYFUNCTION("""COMPUTED_VALUE"""),"The date of diagnosis of the prior Mpox infection.")</f>
        <v>The date of diagnosis of the prior Mpox infection.</v>
      </c>
      <c r="G125"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25" s="35">
        <f>IFERROR(__xludf.DUMMYFUNCTION("""COMPUTED_VALUE"""),44732.0)</f>
        <v>44732</v>
      </c>
      <c r="I125" s="29"/>
      <c r="J125" s="29"/>
      <c r="K125" s="30" t="s">
        <v>19</v>
      </c>
      <c r="L125" s="30" t="s">
        <v>19</v>
      </c>
      <c r="M125" s="30" t="s">
        <v>19</v>
      </c>
      <c r="N125" s="37" t="str">
        <f>IFERROR(__xludf.DUMMYFUNCTION("""COMPUTED_VALUE"""),"Mpox;MpoxInternational")</f>
        <v>Mpox;MpoxInternational</v>
      </c>
      <c r="O125" s="29"/>
      <c r="P125" s="29"/>
      <c r="Q125" s="29"/>
      <c r="R125" s="29"/>
      <c r="S125" s="29"/>
      <c r="T125" s="29"/>
      <c r="U125" s="29"/>
      <c r="V125" s="29"/>
      <c r="W125" s="29"/>
      <c r="X125" s="29"/>
      <c r="Y125" s="29"/>
      <c r="Z125" s="29"/>
      <c r="AA125" s="29"/>
      <c r="AB125" s="29"/>
    </row>
    <row r="126">
      <c r="A126" s="29" t="str">
        <f>IFERROR(__xludf.DUMMYFUNCTION("""COMPUTED_VALUE"""),"Host reinfection information")</f>
        <v>Host reinfection information</v>
      </c>
      <c r="B126" s="29" t="str">
        <f>IFERROR(__xludf.DUMMYFUNCTION("""COMPUTED_VALUE"""),"prior Mpox antiviral treatment")</f>
        <v>prior Mpox antiviral treatment</v>
      </c>
      <c r="C126" s="29"/>
      <c r="D126" s="29"/>
      <c r="E126" s="33" t="str">
        <f>IFERROR(__xludf.DUMMYFUNCTION("""COMPUTED_VALUE"""),"GENEPIO:0100534")</f>
        <v>GENEPIO:0100534</v>
      </c>
      <c r="F126" s="29" t="str">
        <f>IFERROR(__xludf.DUMMYFUNCTION("""COMPUTED_VALUE"""),"The absence or presence of antiviral treatment for a prior Mpox infection.")</f>
        <v>The absence or presence of antiviral treatment for a prior Mpox infection.</v>
      </c>
      <c r="G126"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6" s="29" t="str">
        <f>IFERROR(__xludf.DUMMYFUNCTION("""COMPUTED_VALUE"""),"Prior antiviral treatment ")</f>
        <v>Prior antiviral treatment </v>
      </c>
      <c r="I126" s="29"/>
      <c r="J126" s="29"/>
      <c r="K126" s="30" t="s">
        <v>19</v>
      </c>
      <c r="L126" s="30" t="s">
        <v>19</v>
      </c>
      <c r="M126" s="30" t="s">
        <v>19</v>
      </c>
      <c r="N126" s="37" t="str">
        <f>IFERROR(__xludf.DUMMYFUNCTION("""COMPUTED_VALUE"""),"Mpox")</f>
        <v>Mpox</v>
      </c>
      <c r="O126" s="29"/>
      <c r="P126" s="29"/>
      <c r="Q126" s="29"/>
      <c r="R126" s="29"/>
      <c r="S126" s="29"/>
      <c r="T126" s="29"/>
      <c r="U126" s="29"/>
      <c r="V126" s="29"/>
      <c r="W126" s="29"/>
      <c r="X126" s="29"/>
      <c r="Y126" s="29"/>
      <c r="Z126" s="29"/>
      <c r="AA126" s="29"/>
      <c r="AB126" s="29"/>
    </row>
    <row r="127">
      <c r="A127" s="29" t="str">
        <f>IFERROR(__xludf.DUMMYFUNCTION("""COMPUTED_VALUE"""),"Host reinfection information")</f>
        <v>Host reinfection information</v>
      </c>
      <c r="B127" s="29" t="str">
        <f>IFERROR(__xludf.DUMMYFUNCTION("""COMPUTED_VALUE"""),"prior Mpox antiviral treatment")</f>
        <v>prior Mpox antiviral treatment</v>
      </c>
      <c r="C127" s="29"/>
      <c r="D127" s="29"/>
      <c r="E127" s="33" t="str">
        <f>IFERROR(__xludf.DUMMYFUNCTION("""COMPUTED_VALUE"""),"GENEPIO:0100534")</f>
        <v>GENEPIO:0100534</v>
      </c>
      <c r="F127" s="29" t="str">
        <f>IFERROR(__xludf.DUMMYFUNCTION("""COMPUTED_VALUE"""),"The absence or presence of antiviral treatment for a prior Mpox infection.")</f>
        <v>The absence or presence of antiviral treatment for a prior Mpox infection.</v>
      </c>
      <c r="G127"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7" s="29" t="str">
        <f>IFERROR(__xludf.DUMMYFUNCTION("""COMPUTED_VALUE"""),"Prior antiviral treatment [GENEPIO:0100037]")</f>
        <v>Prior antiviral treatment [GENEPIO:0100037]</v>
      </c>
      <c r="I127" s="29"/>
      <c r="J127" s="29"/>
      <c r="K127" s="30" t="s">
        <v>19</v>
      </c>
      <c r="L127" s="30" t="s">
        <v>19</v>
      </c>
      <c r="M127" s="30" t="s">
        <v>19</v>
      </c>
      <c r="N127" s="31" t="str">
        <f>IFERROR(__xludf.DUMMYFUNCTION("""COMPUTED_VALUE"""),"MpoxInternational")</f>
        <v>MpoxInternational</v>
      </c>
      <c r="O127" s="29"/>
      <c r="P127" s="29"/>
      <c r="Q127" s="29"/>
      <c r="R127" s="29"/>
      <c r="S127" s="29"/>
      <c r="T127" s="29"/>
      <c r="U127" s="29"/>
      <c r="V127" s="29"/>
      <c r="W127" s="29"/>
      <c r="X127" s="29"/>
      <c r="Y127" s="29"/>
      <c r="Z127" s="29"/>
      <c r="AA127" s="29"/>
      <c r="AB127" s="29"/>
    </row>
    <row r="128">
      <c r="A128" s="29" t="str">
        <f>IFERROR(__xludf.DUMMYFUNCTION("""COMPUTED_VALUE"""),"Host reinfection information")</f>
        <v>Host reinfection information</v>
      </c>
      <c r="B128" s="29" t="str">
        <f>IFERROR(__xludf.DUMMYFUNCTION("""COMPUTED_VALUE"""),"prior antiviral treatment during prior Mpox infection")</f>
        <v>prior antiviral treatment during prior Mpox infection</v>
      </c>
      <c r="C128" s="29"/>
      <c r="D128" s="29"/>
      <c r="E128" s="33" t="str">
        <f>IFERROR(__xludf.DUMMYFUNCTION("""COMPUTED_VALUE"""),"GENEPIO:0100535")</f>
        <v>GENEPIO:0100535</v>
      </c>
      <c r="F128" s="29" t="str">
        <f>IFERROR(__xludf.DUMMYFUNCTION("""COMPUTED_VALUE"""),"Antiviral treatment for any infection during the prior Mpox infection period.")</f>
        <v>Antiviral treatment for any infection during the prior Mpox infection period.</v>
      </c>
      <c r="G128"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8" s="29" t="str">
        <f>IFERROR(__xludf.DUMMYFUNCTION("""COMPUTED_VALUE"""),"AZT was administered for HIV infection during the prior Mpox infection.")</f>
        <v>AZT was administered for HIV infection during the prior Mpox infection.</v>
      </c>
      <c r="I128" s="29"/>
      <c r="J128" s="29"/>
      <c r="K128" s="30" t="s">
        <v>19</v>
      </c>
      <c r="L128" s="30" t="s">
        <v>19</v>
      </c>
      <c r="M128" s="30" t="s">
        <v>19</v>
      </c>
      <c r="N128" s="31" t="str">
        <f>IFERROR(__xludf.DUMMYFUNCTION("""COMPUTED_VALUE"""),"Mpox;MpoxInternational")</f>
        <v>Mpox;MpoxInternational</v>
      </c>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30"/>
      <c r="L129" s="30"/>
      <c r="M129" s="30"/>
      <c r="N129" s="31"/>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30"/>
      <c r="L130" s="30"/>
      <c r="M130" s="30"/>
      <c r="N130" s="31"/>
      <c r="O130" s="29"/>
      <c r="P130" s="29"/>
      <c r="Q130" s="29"/>
      <c r="R130" s="29"/>
      <c r="S130" s="29"/>
      <c r="T130" s="29"/>
      <c r="U130" s="29"/>
      <c r="V130" s="29"/>
      <c r="W130" s="29"/>
      <c r="X130" s="29"/>
      <c r="Y130" s="29"/>
      <c r="Z130" s="29"/>
      <c r="AA130" s="29"/>
      <c r="AB130" s="29"/>
    </row>
    <row r="131">
      <c r="A131" s="29"/>
      <c r="B131" s="29" t="str">
        <f>IFERROR(__xludf.DUMMYFUNCTION("""COMPUTED_VALUE"""),"Sequencing")</f>
        <v>Sequencing</v>
      </c>
      <c r="C131" s="29" t="str">
        <f>IFERROR(__xludf.DUMMYFUNCTION("""COMPUTED_VALUE"""),"")</f>
        <v/>
      </c>
      <c r="D131" s="29" t="str">
        <f>IFERROR(__xludf.DUMMYFUNCTION("""COMPUTED_VALUE"""),"")</f>
        <v/>
      </c>
      <c r="E131" s="29" t="str">
        <f>IFERROR(__xludf.DUMMYFUNCTION("""COMPUTED_VALUE"""),"GENEPIO:0001441")</f>
        <v>GENEPIO:0001441</v>
      </c>
      <c r="F131" s="29"/>
      <c r="G131" s="29"/>
      <c r="H131" s="29"/>
      <c r="I131" s="29"/>
      <c r="J131" s="29"/>
      <c r="K131" s="30"/>
      <c r="L131" s="30"/>
      <c r="M131" s="30"/>
      <c r="N131" s="31" t="str">
        <f>IFERROR(__xludf.DUMMYFUNCTION("""COMPUTED_VALUE"""),"Mpox;MpoxInternational")</f>
        <v>Mpox;MpoxInternational</v>
      </c>
      <c r="O131" s="29"/>
      <c r="P131" s="29"/>
      <c r="Q131" s="29"/>
      <c r="R131" s="29"/>
      <c r="S131" s="29"/>
      <c r="T131" s="29"/>
      <c r="U131" s="29"/>
      <c r="V131" s="29"/>
      <c r="W131" s="29"/>
      <c r="X131" s="29"/>
      <c r="Y131" s="29"/>
      <c r="Z131" s="29"/>
      <c r="AA131" s="29"/>
      <c r="AB131" s="29"/>
    </row>
    <row r="132">
      <c r="A132" s="29" t="str">
        <f>IFERROR(__xludf.DUMMYFUNCTION("""COMPUTED_VALUE"""),"Sequencing")</f>
        <v>Sequencing</v>
      </c>
      <c r="B132" s="29" t="str">
        <f>IFERROR(__xludf.DUMMYFUNCTION("""COMPUTED_VALUE"""),"sequencing project name")</f>
        <v>sequencing project name</v>
      </c>
      <c r="C132" s="29"/>
      <c r="D132" s="29"/>
      <c r="E132" s="29" t="str">
        <f>IFERROR(__xludf.DUMMYFUNCTION("""COMPUTED_VALUE"""),"GENEPIO:0100472")</f>
        <v>GENEPIO:0100472</v>
      </c>
      <c r="F132" s="29" t="str">
        <f>IFERROR(__xludf.DUMMYFUNCTION("""COMPUTED_VALUE"""),"The name of the project/initiative/program for which sequencing was performed.")</f>
        <v>The name of the project/initiative/program for which sequencing was performed.</v>
      </c>
      <c r="G132"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32" s="29" t="str">
        <f>IFERROR(__xludf.DUMMYFUNCTION("""COMPUTED_VALUE"""),"MPOX-1356")</f>
        <v>MPOX-1356</v>
      </c>
      <c r="I132" s="29"/>
      <c r="J132" s="29"/>
      <c r="K132" s="30" t="s">
        <v>21</v>
      </c>
      <c r="L132" s="30" t="s">
        <v>21</v>
      </c>
      <c r="M132" s="30" t="s">
        <v>21</v>
      </c>
      <c r="N132" s="31" t="str">
        <f>IFERROR(__xludf.DUMMYFUNCTION("""COMPUTED_VALUE"""),"MpoxInternational")</f>
        <v>MpoxInternational</v>
      </c>
      <c r="O132" s="29"/>
      <c r="P132" s="29"/>
      <c r="Q132" s="29"/>
      <c r="R132" s="29"/>
      <c r="S132" s="29"/>
      <c r="T132" s="29"/>
      <c r="U132" s="29"/>
      <c r="V132" s="29"/>
      <c r="W132" s="29"/>
      <c r="X132" s="29"/>
      <c r="Y132" s="29"/>
      <c r="Z132" s="29"/>
      <c r="AA132" s="29"/>
      <c r="AB132" s="29"/>
    </row>
    <row r="133">
      <c r="A133" s="29" t="str">
        <f>IFERROR(__xludf.DUMMYFUNCTION("""COMPUTED_VALUE"""),"Sequencing")</f>
        <v>Sequencing</v>
      </c>
      <c r="B133" s="29" t="str">
        <f>IFERROR(__xludf.DUMMYFUNCTION("""COMPUTED_VALUE"""),"sequenced by")</f>
        <v>sequenced by</v>
      </c>
      <c r="C133" s="29" t="b">
        <f>IFERROR(__xludf.DUMMYFUNCTION("""COMPUTED_VALUE"""),TRUE)</f>
        <v>1</v>
      </c>
      <c r="D133" s="29"/>
      <c r="E133" s="29" t="str">
        <f>IFERROR(__xludf.DUMMYFUNCTION("""COMPUTED_VALUE"""),"GENEPIO:0100416")</f>
        <v>GENEPIO:0100416</v>
      </c>
      <c r="F133" s="29" t="str">
        <f>IFERROR(__xludf.DUMMYFUNCTION("""COMPUTED_VALUE"""),"The name of the agency that generated the sequence.")</f>
        <v>The name of the agency that generated the sequence.</v>
      </c>
      <c r="G133"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3" s="29" t="str">
        <f>IFERROR(__xludf.DUMMYFUNCTION("""COMPUTED_VALUE"""),"Public Health Ontario (PHO)")</f>
        <v>Public Health Ontario (PHO)</v>
      </c>
      <c r="I133" s="29"/>
      <c r="J133" s="29"/>
      <c r="K133" s="30" t="s">
        <v>21</v>
      </c>
      <c r="L133" s="30" t="s">
        <v>21</v>
      </c>
      <c r="M133" s="30" t="s">
        <v>21</v>
      </c>
      <c r="N133" s="31" t="str">
        <f>IFERROR(__xludf.DUMMYFUNCTION("""COMPUTED_VALUE"""),"Mpox")</f>
        <v>Mpox</v>
      </c>
      <c r="O133" s="29"/>
      <c r="P133" s="29"/>
      <c r="Q133" s="29"/>
      <c r="R133" s="29"/>
      <c r="S133" s="29"/>
      <c r="T133" s="29"/>
      <c r="U133" s="29"/>
      <c r="V133" s="29"/>
      <c r="W133" s="29"/>
      <c r="X133" s="29"/>
      <c r="Y133" s="29"/>
      <c r="Z133" s="29"/>
      <c r="AA133" s="29"/>
      <c r="AB133" s="29"/>
    </row>
    <row r="134">
      <c r="A134" s="29" t="str">
        <f>IFERROR(__xludf.DUMMYFUNCTION("""COMPUTED_VALUE"""),"Sequencing")</f>
        <v>Sequencing</v>
      </c>
      <c r="B134" s="29" t="str">
        <f>IFERROR(__xludf.DUMMYFUNCTION("""COMPUTED_VALUE"""),"sequenced by")</f>
        <v>sequenced by</v>
      </c>
      <c r="C134" s="29" t="b">
        <f>IFERROR(__xludf.DUMMYFUNCTION("""COMPUTED_VALUE"""),TRUE)</f>
        <v>1</v>
      </c>
      <c r="D134" s="29"/>
      <c r="E134" s="29" t="str">
        <f>IFERROR(__xludf.DUMMYFUNCTION("""COMPUTED_VALUE"""),"GENEPIO:0100416")</f>
        <v>GENEPIO:0100416</v>
      </c>
      <c r="F134" s="29" t="str">
        <f>IFERROR(__xludf.DUMMYFUNCTION("""COMPUTED_VALUE"""),"The name of the agency that generated the sequence.")</f>
        <v>The name of the agency that generated the sequence.</v>
      </c>
      <c r="G134"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34" s="29" t="str">
        <f>IFERROR(__xludf.DUMMYFUNCTION("""COMPUTED_VALUE"""),"Public Health Ontario (PHO)")</f>
        <v>Public Health Ontario (PHO)</v>
      </c>
      <c r="I134" s="29"/>
      <c r="J134" s="29"/>
      <c r="K134" s="30" t="s">
        <v>21</v>
      </c>
      <c r="L134" s="30" t="s">
        <v>21</v>
      </c>
      <c r="M134" s="30" t="s">
        <v>21</v>
      </c>
      <c r="N134" s="31" t="str">
        <f>IFERROR(__xludf.DUMMYFUNCTION("""COMPUTED_VALUE"""),"MpoxInternational")</f>
        <v>MpoxInternational</v>
      </c>
      <c r="O134" s="29"/>
      <c r="P134" s="29"/>
      <c r="Q134" s="29"/>
      <c r="R134" s="29"/>
      <c r="S134" s="29"/>
      <c r="T134" s="29"/>
      <c r="U134" s="29"/>
      <c r="V134" s="29"/>
      <c r="W134" s="29"/>
      <c r="X134" s="29"/>
      <c r="Y134" s="29"/>
      <c r="Z134" s="29"/>
      <c r="AA134" s="29"/>
      <c r="AB134" s="29"/>
    </row>
    <row r="135">
      <c r="A135" s="29" t="str">
        <f>IFERROR(__xludf.DUMMYFUNCTION("""COMPUTED_VALUE"""),"Sequencing")</f>
        <v>Sequencing</v>
      </c>
      <c r="B135" s="29" t="str">
        <f>IFERROR(__xludf.DUMMYFUNCTION("""COMPUTED_VALUE"""),"sequenced by laboratory name")</f>
        <v>sequenced by laboratory name</v>
      </c>
      <c r="C135" s="29"/>
      <c r="D135" s="29"/>
      <c r="E135" s="29" t="str">
        <f>IFERROR(__xludf.DUMMYFUNCTION("""COMPUTED_VALUE"""),"GENEPIO:0100470")</f>
        <v>GENEPIO:0100470</v>
      </c>
      <c r="F135" s="29" t="str">
        <f>IFERROR(__xludf.DUMMYFUNCTION("""COMPUTED_VALUE"""),"The specific laboratory affiliation of the responsible for sequencing the isolate's genome.")</f>
        <v>The specific laboratory affiliation of the responsible for sequencing the isolate's genome.</v>
      </c>
      <c r="G135"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35" s="29" t="str">
        <f>IFERROR(__xludf.DUMMYFUNCTION("""COMPUTED_VALUE"""),"Topp Lab")</f>
        <v>Topp Lab</v>
      </c>
      <c r="I135" s="29"/>
      <c r="J135" s="29"/>
      <c r="K135" s="30" t="s">
        <v>21</v>
      </c>
      <c r="L135" s="30" t="s">
        <v>21</v>
      </c>
      <c r="M135" s="30" t="s">
        <v>21</v>
      </c>
      <c r="N135" s="31" t="str">
        <f>IFERROR(__xludf.DUMMYFUNCTION("""COMPUTED_VALUE"""),"MpoxInternational")</f>
        <v>MpoxInternational</v>
      </c>
      <c r="O135" s="29"/>
      <c r="P135" s="29"/>
      <c r="Q135" s="29"/>
      <c r="R135" s="29"/>
      <c r="S135" s="29"/>
      <c r="T135" s="29"/>
      <c r="U135" s="29"/>
      <c r="V135" s="29"/>
      <c r="W135" s="29"/>
      <c r="X135" s="29"/>
      <c r="Y135" s="29"/>
      <c r="Z135" s="29"/>
      <c r="AA135" s="29"/>
      <c r="AB135" s="29"/>
    </row>
    <row r="136">
      <c r="A136" s="29" t="str">
        <f>IFERROR(__xludf.DUMMYFUNCTION("""COMPUTED_VALUE"""),"Sequencing")</f>
        <v>Sequencing</v>
      </c>
      <c r="B136" s="29" t="str">
        <f>IFERROR(__xludf.DUMMYFUNCTION("""COMPUTED_VALUE"""),"sequenced by contact name")</f>
        <v>sequenced by contact name</v>
      </c>
      <c r="C136" s="29" t="b">
        <f>IFERROR(__xludf.DUMMYFUNCTION("""COMPUTED_VALUE"""),TRUE)</f>
        <v>1</v>
      </c>
      <c r="D136" s="29"/>
      <c r="E136" s="29" t="str">
        <f>IFERROR(__xludf.DUMMYFUNCTION("""COMPUTED_VALUE"""),"GENEPIO:0100471")</f>
        <v>GENEPIO:0100471</v>
      </c>
      <c r="F136" s="29" t="str">
        <f>IFERROR(__xludf.DUMMYFUNCTION("""COMPUTED_VALUE"""),"The name or title of the contact responsible for follow-up regarding the sequence.")</f>
        <v>The name or title of the contact responsible for follow-up regarding the sequence.</v>
      </c>
      <c r="G136"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36" s="29" t="str">
        <f>IFERROR(__xludf.DUMMYFUNCTION("""COMPUTED_VALUE"""),"Joe Bloggs, Enterics Lab Manager")</f>
        <v>Joe Bloggs, Enterics Lab Manager</v>
      </c>
      <c r="I136" s="29"/>
      <c r="J136" s="29"/>
      <c r="K136" s="30" t="s">
        <v>21</v>
      </c>
      <c r="L136" s="30" t="s">
        <v>21</v>
      </c>
      <c r="M136" s="30" t="s">
        <v>21</v>
      </c>
      <c r="N136" s="31" t="str">
        <f>IFERROR(__xludf.DUMMYFUNCTION("""COMPUTED_VALUE"""),"MpoxInternational")</f>
        <v>MpoxInternational</v>
      </c>
      <c r="O136" s="29"/>
      <c r="P136" s="29"/>
      <c r="Q136" s="29"/>
      <c r="R136" s="29"/>
      <c r="S136" s="29"/>
      <c r="T136" s="29"/>
      <c r="U136" s="29"/>
      <c r="V136" s="29"/>
      <c r="W136" s="29"/>
      <c r="X136" s="29"/>
      <c r="Y136" s="29"/>
      <c r="Z136" s="29"/>
      <c r="AA136" s="29"/>
      <c r="AB136" s="29"/>
    </row>
    <row r="137">
      <c r="A137" s="29" t="str">
        <f>IFERROR(__xludf.DUMMYFUNCTION("""COMPUTED_VALUE"""),"Sequencing")</f>
        <v>Sequencing</v>
      </c>
      <c r="B137" s="29" t="str">
        <f>IFERROR(__xludf.DUMMYFUNCTION("""COMPUTED_VALUE"""),"sequenced by contact email")</f>
        <v>sequenced by contact email</v>
      </c>
      <c r="C137" s="29"/>
      <c r="D137" s="29"/>
      <c r="E137" s="29" t="str">
        <f>IFERROR(__xludf.DUMMYFUNCTION("""COMPUTED_VALUE"""),"GENEPIO:0100422")</f>
        <v>GENEPIO:0100422</v>
      </c>
      <c r="F137" s="29" t="str">
        <f>IFERROR(__xludf.DUMMYFUNCTION("""COMPUTED_VALUE"""),"The email address of the contact responsible for follow-up regarding the sequence.")</f>
        <v>The email address of the contact responsible for follow-up regarding the sequence.</v>
      </c>
      <c r="G137" s="29" t="str">
        <f>IFERROR(__xludf.DUMMYFUNCTION("""COMPUTED_VALUE"""),"The email address can represent a specific individual or lab e.g. johnnyblogs@lab.ca, or RespLab@lab.ca")</f>
        <v>The email address can represent a specific individual or lab e.g. johnnyblogs@lab.ca, or RespLab@lab.ca</v>
      </c>
      <c r="H137" s="29" t="str">
        <f>IFERROR(__xludf.DUMMYFUNCTION("""COMPUTED_VALUE"""),"RespLab@lab.ca")</f>
        <v>RespLab@lab.ca</v>
      </c>
      <c r="I137" s="29"/>
      <c r="J137" s="29"/>
      <c r="K137" s="30" t="s">
        <v>21</v>
      </c>
      <c r="L137" s="30" t="s">
        <v>21</v>
      </c>
      <c r="M137" s="30" t="s">
        <v>21</v>
      </c>
      <c r="N137" s="31" t="str">
        <f>IFERROR(__xludf.DUMMYFUNCTION("""COMPUTED_VALUE"""),"Mpox;MpoxInternational")</f>
        <v>Mpox;MpoxInternational</v>
      </c>
      <c r="O137" s="29"/>
      <c r="P137" s="29"/>
      <c r="Q137" s="29"/>
      <c r="R137" s="29"/>
      <c r="S137" s="29"/>
      <c r="T137" s="29"/>
      <c r="U137" s="29"/>
      <c r="V137" s="29"/>
      <c r="W137" s="29"/>
      <c r="X137" s="29"/>
      <c r="Y137" s="29"/>
      <c r="Z137" s="29"/>
      <c r="AA137" s="29"/>
      <c r="AB137" s="29"/>
    </row>
    <row r="138">
      <c r="A138" s="29" t="str">
        <f>IFERROR(__xludf.DUMMYFUNCTION("""COMPUTED_VALUE"""),"Sequencing")</f>
        <v>Sequencing</v>
      </c>
      <c r="B138" s="29" t="str">
        <f>IFERROR(__xludf.DUMMYFUNCTION("""COMPUTED_VALUE"""),"sequenced by contact address")</f>
        <v>sequenced by contact address</v>
      </c>
      <c r="C138" s="29"/>
      <c r="D138" s="29"/>
      <c r="E138" s="29" t="str">
        <f>IFERROR(__xludf.DUMMYFUNCTION("""COMPUTED_VALUE"""),"GENEPIO:0100423")</f>
        <v>GENEPIO:0100423</v>
      </c>
      <c r="F138" s="29" t="str">
        <f>IFERROR(__xludf.DUMMYFUNCTION("""COMPUTED_VALUE"""),"The mailing address of the agency submitting the sequence.")</f>
        <v>The mailing address of the agency submitting the sequence.</v>
      </c>
      <c r="G138"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8" s="29" t="str">
        <f>IFERROR(__xludf.DUMMYFUNCTION("""COMPUTED_VALUE"""),"123 Sunnybrooke St, Toronto, Ontario, M4P 1L6, Canada")</f>
        <v>123 Sunnybrooke St, Toronto, Ontario, M4P 1L6, Canada</v>
      </c>
      <c r="I138" s="29"/>
      <c r="J138" s="29"/>
      <c r="K138" s="30" t="s">
        <v>21</v>
      </c>
      <c r="L138" s="30" t="s">
        <v>21</v>
      </c>
      <c r="M138" s="30" t="s">
        <v>21</v>
      </c>
      <c r="N138" s="31" t="str">
        <f>IFERROR(__xludf.DUMMYFUNCTION("""COMPUTED_VALUE"""),"Mpox;MpoxInternational")</f>
        <v>Mpox;MpoxInternational</v>
      </c>
      <c r="O138" s="29"/>
      <c r="P138" s="29"/>
      <c r="Q138" s="29"/>
      <c r="R138" s="29"/>
      <c r="S138" s="29"/>
      <c r="T138" s="29"/>
      <c r="U138" s="29"/>
      <c r="V138" s="29"/>
      <c r="W138" s="29"/>
      <c r="X138" s="29"/>
      <c r="Y138" s="29"/>
      <c r="Z138" s="29"/>
      <c r="AA138" s="29"/>
      <c r="AB138" s="29"/>
    </row>
    <row r="139">
      <c r="A139" s="29" t="str">
        <f>IFERROR(__xludf.DUMMYFUNCTION("""COMPUTED_VALUE"""),"Sequencing")</f>
        <v>Sequencing</v>
      </c>
      <c r="B139" s="29" t="str">
        <f>IFERROR(__xludf.DUMMYFUNCTION("""COMPUTED_VALUE"""),"sequence submitted by")</f>
        <v>sequence submitted by</v>
      </c>
      <c r="C139" s="29" t="b">
        <f>IFERROR(__xludf.DUMMYFUNCTION("""COMPUTED_VALUE"""),TRUE)</f>
        <v>1</v>
      </c>
      <c r="D139" s="29" t="str">
        <f>IFERROR(__xludf.DUMMYFUNCTION("""COMPUTED_VALUE"""),"")</f>
        <v/>
      </c>
      <c r="E139" s="29" t="str">
        <f>IFERROR(__xludf.DUMMYFUNCTION("""COMPUTED_VALUE"""),"GENEPIO:0001159")</f>
        <v>GENEPIO:0001159</v>
      </c>
      <c r="F139" s="29" t="str">
        <f>IFERROR(__xludf.DUMMYFUNCTION("""COMPUTED_VALUE"""),"The name of the agency that submitted the sequence to a database.")</f>
        <v>The name of the agency that submitted the sequence to a database.</v>
      </c>
      <c r="G139"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9" s="29" t="str">
        <f>IFERROR(__xludf.DUMMYFUNCTION("""COMPUTED_VALUE"""),"Public Health Ontario (PHO)")</f>
        <v>Public Health Ontario (PHO)</v>
      </c>
      <c r="I139" s="29"/>
      <c r="J139" s="29"/>
      <c r="K139" s="30" t="s">
        <v>21</v>
      </c>
      <c r="L139" s="30" t="s">
        <v>21</v>
      </c>
      <c r="M139" s="30" t="s">
        <v>21</v>
      </c>
      <c r="N139" s="31" t="str">
        <f>IFERROR(__xludf.DUMMYFUNCTION("""COMPUTED_VALUE"""),"Mpox")</f>
        <v>Mpox</v>
      </c>
      <c r="O139" s="29"/>
      <c r="P139" s="29"/>
      <c r="Q139" s="29"/>
      <c r="R139" s="29"/>
      <c r="S139" s="29"/>
      <c r="T139" s="29"/>
      <c r="U139" s="29"/>
      <c r="V139" s="29"/>
      <c r="W139" s="29"/>
      <c r="X139" s="29"/>
      <c r="Y139" s="29"/>
      <c r="Z139" s="29"/>
      <c r="AA139" s="29"/>
      <c r="AB139" s="29"/>
    </row>
    <row r="140">
      <c r="A140" s="29" t="str">
        <f>IFERROR(__xludf.DUMMYFUNCTION("""COMPUTED_VALUE"""),"Sequencing")</f>
        <v>Sequencing</v>
      </c>
      <c r="B140" s="29" t="str">
        <f>IFERROR(__xludf.DUMMYFUNCTION("""COMPUTED_VALUE"""),"sequence submitted by")</f>
        <v>sequence submitted by</v>
      </c>
      <c r="C140" s="29" t="b">
        <f>IFERROR(__xludf.DUMMYFUNCTION("""COMPUTED_VALUE"""),TRUE)</f>
        <v>1</v>
      </c>
      <c r="D140" s="29"/>
      <c r="E140" s="29" t="str">
        <f>IFERROR(__xludf.DUMMYFUNCTION("""COMPUTED_VALUE"""),"GENEPIO:0001159")</f>
        <v>GENEPIO:0001159</v>
      </c>
      <c r="F140" s="29" t="str">
        <f>IFERROR(__xludf.DUMMYFUNCTION("""COMPUTED_VALUE"""),"The name of the agency that submitted the sequence to a database.")</f>
        <v>The name of the agency that submitted the sequence to a database.</v>
      </c>
      <c r="G140"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40" s="29" t="str">
        <f>IFERROR(__xludf.DUMMYFUNCTION("""COMPUTED_VALUE"""),"Public Health Ontario (PHO)")</f>
        <v>Public Health Ontario (PHO)</v>
      </c>
      <c r="I140" s="29"/>
      <c r="J140" s="29"/>
      <c r="K140" s="30" t="s">
        <v>21</v>
      </c>
      <c r="L140" s="30" t="s">
        <v>21</v>
      </c>
      <c r="M140" s="30" t="s">
        <v>21</v>
      </c>
      <c r="N140" s="31" t="str">
        <f>IFERROR(__xludf.DUMMYFUNCTION("""COMPUTED_VALUE"""),"MpoxInternational")</f>
        <v>MpoxInternational</v>
      </c>
      <c r="O140" s="29"/>
      <c r="P140" s="29"/>
      <c r="Q140" s="29"/>
      <c r="R140" s="29"/>
      <c r="S140" s="29"/>
      <c r="T140" s="29"/>
      <c r="U140" s="29"/>
      <c r="V140" s="29"/>
      <c r="W140" s="29"/>
      <c r="X140" s="29"/>
      <c r="Y140" s="29"/>
      <c r="Z140" s="29"/>
      <c r="AA140" s="29"/>
      <c r="AB140" s="29"/>
    </row>
    <row r="141">
      <c r="A141" s="29" t="str">
        <f>IFERROR(__xludf.DUMMYFUNCTION("""COMPUTED_VALUE"""),"Sequencing")</f>
        <v>Sequencing</v>
      </c>
      <c r="B141" s="29" t="str">
        <f>IFERROR(__xludf.DUMMYFUNCTION("""COMPUTED_VALUE"""),"sequence submitter contact email")</f>
        <v>sequence submitter contact email</v>
      </c>
      <c r="C141" s="29" t="str">
        <f>IFERROR(__xludf.DUMMYFUNCTION("""COMPUTED_VALUE"""),"")</f>
        <v/>
      </c>
      <c r="D141" s="29" t="str">
        <f>IFERROR(__xludf.DUMMYFUNCTION("""COMPUTED_VALUE"""),"")</f>
        <v/>
      </c>
      <c r="E141" s="29" t="str">
        <f>IFERROR(__xludf.DUMMYFUNCTION("""COMPUTED_VALUE"""),"GENEPIO:0001165")</f>
        <v>GENEPIO:0001165</v>
      </c>
      <c r="F141" s="29" t="str">
        <f>IFERROR(__xludf.DUMMYFUNCTION("""COMPUTED_VALUE"""),"The email address of the agency responsible for submission of the sequence.")</f>
        <v>The email address of the agency responsible for submission of the sequence.</v>
      </c>
      <c r="G141" s="29" t="str">
        <f>IFERROR(__xludf.DUMMYFUNCTION("""COMPUTED_VALUE"""),"The email address can represent a specific individual or lab e.g. johnnyblogs@lab.ca, or RespLab@lab.ca")</f>
        <v>The email address can represent a specific individual or lab e.g. johnnyblogs@lab.ca, or RespLab@lab.ca</v>
      </c>
      <c r="H141" s="29" t="str">
        <f>IFERROR(__xludf.DUMMYFUNCTION("""COMPUTED_VALUE"""),"RespLab@lab.ca")</f>
        <v>RespLab@lab.ca</v>
      </c>
      <c r="I141" s="29"/>
      <c r="J141" s="29"/>
      <c r="K141" s="30" t="s">
        <v>21</v>
      </c>
      <c r="L141" s="30" t="s">
        <v>21</v>
      </c>
      <c r="M141" s="30" t="s">
        <v>21</v>
      </c>
      <c r="N141" s="31" t="str">
        <f>IFERROR(__xludf.DUMMYFUNCTION("""COMPUTED_VALUE"""),"Mpox;MpoxInternational")</f>
        <v>Mpox;MpoxInternational</v>
      </c>
      <c r="O141" s="29"/>
      <c r="P141" s="29"/>
      <c r="Q141" s="29"/>
      <c r="R141" s="29"/>
      <c r="S141" s="29"/>
      <c r="T141" s="29"/>
      <c r="U141" s="29"/>
      <c r="V141" s="29"/>
      <c r="W141" s="29"/>
      <c r="X141" s="29"/>
      <c r="Y141" s="29"/>
      <c r="Z141" s="29"/>
      <c r="AA141" s="29"/>
      <c r="AB141" s="29"/>
    </row>
    <row r="142">
      <c r="A142" s="29" t="str">
        <f>IFERROR(__xludf.DUMMYFUNCTION("""COMPUTED_VALUE"""),"Sequencing")</f>
        <v>Sequencing</v>
      </c>
      <c r="B142" s="29" t="str">
        <f>IFERROR(__xludf.DUMMYFUNCTION("""COMPUTED_VALUE"""),"sequence submitter contact address")</f>
        <v>sequence submitter contact address</v>
      </c>
      <c r="C142" s="29" t="str">
        <f>IFERROR(__xludf.DUMMYFUNCTION("""COMPUTED_VALUE"""),"")</f>
        <v/>
      </c>
      <c r="D142" s="29" t="str">
        <f>IFERROR(__xludf.DUMMYFUNCTION("""COMPUTED_VALUE"""),"")</f>
        <v/>
      </c>
      <c r="E142" s="29" t="str">
        <f>IFERROR(__xludf.DUMMYFUNCTION("""COMPUTED_VALUE"""),"GENEPIO:0001167")</f>
        <v>GENEPIO:0001167</v>
      </c>
      <c r="F142" s="29" t="str">
        <f>IFERROR(__xludf.DUMMYFUNCTION("""COMPUTED_VALUE"""),"The mailing address of the agency responsible for submission of the sequence.")</f>
        <v>The mailing address of the agency responsible for submission of the sequence.</v>
      </c>
      <c r="G142"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42" s="29" t="str">
        <f>IFERROR(__xludf.DUMMYFUNCTION("""COMPUTED_VALUE"""),"123 Sunnybrooke St, Toronto, Ontario, M4P 1L6, Canada")</f>
        <v>123 Sunnybrooke St, Toronto, Ontario, M4P 1L6, Canada</v>
      </c>
      <c r="I142" s="29"/>
      <c r="J142" s="29"/>
      <c r="K142" s="30" t="s">
        <v>21</v>
      </c>
      <c r="L142" s="30" t="s">
        <v>21</v>
      </c>
      <c r="M142" s="30" t="s">
        <v>21</v>
      </c>
      <c r="N142" s="31" t="str">
        <f>IFERROR(__xludf.DUMMYFUNCTION("""COMPUTED_VALUE"""),"Mpox;MpoxInternational")</f>
        <v>Mpox;MpoxInternational</v>
      </c>
      <c r="O142" s="29"/>
      <c r="P142" s="29"/>
      <c r="Q142" s="29"/>
      <c r="R142" s="29"/>
      <c r="S142" s="29"/>
      <c r="T142" s="29"/>
      <c r="U142" s="29"/>
      <c r="V142" s="29"/>
      <c r="W142" s="29"/>
      <c r="X142" s="29"/>
      <c r="Y142" s="29"/>
      <c r="Z142" s="29"/>
      <c r="AA142" s="29"/>
      <c r="AB142" s="29"/>
    </row>
    <row r="143">
      <c r="A143" s="29" t="str">
        <f>IFERROR(__xludf.DUMMYFUNCTION("""COMPUTED_VALUE"""),"Sequencing")</f>
        <v>Sequencing</v>
      </c>
      <c r="B143" s="29" t="str">
        <f>IFERROR(__xludf.DUMMYFUNCTION("""COMPUTED_VALUE"""),"purpose of sequencing")</f>
        <v>purpose of sequencing</v>
      </c>
      <c r="C143" s="29" t="b">
        <f>IFERROR(__xludf.DUMMYFUNCTION("""COMPUTED_VALUE"""),TRUE)</f>
        <v>1</v>
      </c>
      <c r="D143" s="29" t="str">
        <f>IFERROR(__xludf.DUMMYFUNCTION("""COMPUTED_VALUE"""),"")</f>
        <v/>
      </c>
      <c r="E143" s="29" t="str">
        <f>IFERROR(__xludf.DUMMYFUNCTION("""COMPUTED_VALUE"""),"GENEPIO:0001445")</f>
        <v>GENEPIO:0001445</v>
      </c>
      <c r="F143" s="29" t="str">
        <f>IFERROR(__xludf.DUMMYFUNCTION("""COMPUTED_VALUE"""),"The reason that the sample was sequenced.")</f>
        <v>The reason that the sample was sequenced.</v>
      </c>
      <c r="G143"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3"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43" s="29"/>
      <c r="J143" s="29"/>
      <c r="K143" s="30" t="s">
        <v>21</v>
      </c>
      <c r="L143" s="30" t="s">
        <v>21</v>
      </c>
      <c r="M143" s="30" t="s">
        <v>21</v>
      </c>
      <c r="N143" s="31" t="str">
        <f>IFERROR(__xludf.DUMMYFUNCTION("""COMPUTED_VALUE"""),"Mpox")</f>
        <v>Mpox</v>
      </c>
      <c r="O143" s="29"/>
      <c r="P143" s="29"/>
      <c r="Q143" s="29"/>
      <c r="R143" s="29"/>
      <c r="S143" s="29"/>
      <c r="T143" s="29"/>
      <c r="U143" s="29"/>
      <c r="V143" s="29"/>
      <c r="W143" s="29"/>
      <c r="X143" s="29"/>
      <c r="Y143" s="29"/>
      <c r="Z143" s="29"/>
      <c r="AA143" s="29"/>
      <c r="AB143" s="29"/>
    </row>
    <row r="144">
      <c r="A144" s="29" t="str">
        <f>IFERROR(__xludf.DUMMYFUNCTION("""COMPUTED_VALUE"""),"Sequencing")</f>
        <v>Sequencing</v>
      </c>
      <c r="B144" s="29" t="str">
        <f>IFERROR(__xludf.DUMMYFUNCTION("""COMPUTED_VALUE"""),"purpose of sequencing")</f>
        <v>purpose of sequencing</v>
      </c>
      <c r="C144" s="29" t="b">
        <f>IFERROR(__xludf.DUMMYFUNCTION("""COMPUTED_VALUE"""),TRUE)</f>
        <v>1</v>
      </c>
      <c r="D144" s="29" t="str">
        <f>IFERROR(__xludf.DUMMYFUNCTION("""COMPUTED_VALUE"""),"")</f>
        <v/>
      </c>
      <c r="E144" s="29" t="str">
        <f>IFERROR(__xludf.DUMMYFUNCTION("""COMPUTED_VALUE"""),"GENEPIO:0001445")</f>
        <v>GENEPIO:0001445</v>
      </c>
      <c r="F144" s="29" t="str">
        <f>IFERROR(__xludf.DUMMYFUNCTION("""COMPUTED_VALUE"""),"The reason that the sample was sequenced.")</f>
        <v>The reason that the sample was sequenced.</v>
      </c>
      <c r="G144"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4" s="29" t="str">
        <f>IFERROR(__xludf.DUMMYFUNCTION("""COMPUTED_VALUE"""),"Baseline surveillance (random sampling) [GENEPIO:0100005]")</f>
        <v>Baseline surveillance (random sampling) [GENEPIO:0100005]</v>
      </c>
      <c r="I144" s="29"/>
      <c r="J144" s="29"/>
      <c r="K144" s="30" t="s">
        <v>21</v>
      </c>
      <c r="L144" s="30" t="s">
        <v>21</v>
      </c>
      <c r="M144" s="30" t="s">
        <v>21</v>
      </c>
      <c r="N144" s="31" t="str">
        <f>IFERROR(__xludf.DUMMYFUNCTION("""COMPUTED_VALUE"""),"MpoxInternational")</f>
        <v>MpoxInternational</v>
      </c>
      <c r="O144" s="29"/>
      <c r="P144" s="29"/>
      <c r="Q144" s="29"/>
      <c r="R144" s="29"/>
      <c r="S144" s="29"/>
      <c r="T144" s="29"/>
      <c r="U144" s="29"/>
      <c r="V144" s="29"/>
      <c r="W144" s="29"/>
      <c r="X144" s="29"/>
      <c r="Y144" s="29"/>
      <c r="Z144" s="29"/>
      <c r="AA144" s="29"/>
      <c r="AB144" s="29"/>
    </row>
    <row r="145">
      <c r="A145" s="29" t="str">
        <f>IFERROR(__xludf.DUMMYFUNCTION("""COMPUTED_VALUE"""),"Sequencing")</f>
        <v>Sequencing</v>
      </c>
      <c r="B145" s="29" t="str">
        <f>IFERROR(__xludf.DUMMYFUNCTION("""COMPUTED_VALUE"""),"purpose of sequencing details")</f>
        <v>purpose of sequencing details</v>
      </c>
      <c r="C145" s="29" t="b">
        <f>IFERROR(__xludf.DUMMYFUNCTION("""COMPUTED_VALUE"""),TRUE)</f>
        <v>1</v>
      </c>
      <c r="D145" s="29" t="str">
        <f>IFERROR(__xludf.DUMMYFUNCTION("""COMPUTED_VALUE"""),"")</f>
        <v/>
      </c>
      <c r="E145" s="29" t="str">
        <f>IFERROR(__xludf.DUMMYFUNCTION("""COMPUTED_VALUE"""),"GENEPIO:0001446")</f>
        <v>GENEPIO:0001446</v>
      </c>
      <c r="F145" s="29" t="str">
        <f>IFERROR(__xludf.DUMMYFUNCTION("""COMPUTED_VALUE"""),"The description of why the sample was sequenced providing specific details.")</f>
        <v>The description of why the sample was sequenced providing specific details.</v>
      </c>
      <c r="G145"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45" s="29" t="str">
        <f>IFERROR(__xludf.DUMMYFUNCTION("""COMPUTED_VALUE"""),"Outbreak in MSM community")</f>
        <v>Outbreak in MSM community</v>
      </c>
      <c r="I145" s="29"/>
      <c r="J145" s="29"/>
      <c r="K145" s="30" t="s">
        <v>21</v>
      </c>
      <c r="L145" s="30" t="s">
        <v>21</v>
      </c>
      <c r="M145" s="30" t="s">
        <v>21</v>
      </c>
      <c r="N145" s="31" t="str">
        <f>IFERROR(__xludf.DUMMYFUNCTION("""COMPUTED_VALUE"""),"Mpox;MpoxInternational")</f>
        <v>Mpox;MpoxInternational</v>
      </c>
      <c r="O145" s="29"/>
      <c r="P145" s="29"/>
      <c r="Q145" s="29"/>
      <c r="R145" s="29"/>
      <c r="S145" s="29"/>
      <c r="T145" s="29"/>
      <c r="U145" s="29"/>
      <c r="V145" s="29"/>
      <c r="W145" s="29"/>
      <c r="X145" s="29"/>
      <c r="Y145" s="29"/>
      <c r="Z145" s="29"/>
      <c r="AA145" s="29"/>
      <c r="AB145" s="29"/>
    </row>
    <row r="146">
      <c r="A146" s="29" t="str">
        <f>IFERROR(__xludf.DUMMYFUNCTION("""COMPUTED_VALUE"""),"Sequencing")</f>
        <v>Sequencing</v>
      </c>
      <c r="B146" s="29" t="str">
        <f>IFERROR(__xludf.DUMMYFUNCTION("""COMPUTED_VALUE"""),"sequencing date")</f>
        <v>sequencing date</v>
      </c>
      <c r="C146" s="29" t="b">
        <f>IFERROR(__xludf.DUMMYFUNCTION("""COMPUTED_VALUE"""),TRUE)</f>
        <v>1</v>
      </c>
      <c r="D146" s="29" t="str">
        <f>IFERROR(__xludf.DUMMYFUNCTION("""COMPUTED_VALUE"""),"")</f>
        <v/>
      </c>
      <c r="E146" s="29" t="str">
        <f>IFERROR(__xludf.DUMMYFUNCTION("""COMPUTED_VALUE"""),"GENEPIO:0001447")</f>
        <v>GENEPIO:0001447</v>
      </c>
      <c r="F146" s="29" t="str">
        <f>IFERROR(__xludf.DUMMYFUNCTION("""COMPUTED_VALUE"""),"The date the sample was sequenced.")</f>
        <v>The date the sample was sequenced.</v>
      </c>
      <c r="G146" s="29" t="str">
        <f>IFERROR(__xludf.DUMMYFUNCTION("""COMPUTED_VALUE"""),"ISO 8601 standard ""YYYY-MM-DD"".")</f>
        <v>ISO 8601 standard "YYYY-MM-DD".</v>
      </c>
      <c r="H146" s="35">
        <f>IFERROR(__xludf.DUMMYFUNCTION("""COMPUTED_VALUE"""),44004.0)</f>
        <v>44004</v>
      </c>
      <c r="I146" s="29"/>
      <c r="J146" s="29"/>
      <c r="K146" s="30" t="s">
        <v>21</v>
      </c>
      <c r="L146" s="30" t="s">
        <v>21</v>
      </c>
      <c r="M146" s="30" t="s">
        <v>21</v>
      </c>
      <c r="N146" s="31" t="str">
        <f>IFERROR(__xludf.DUMMYFUNCTION("""COMPUTED_VALUE"""),"Mpox")</f>
        <v>Mpox</v>
      </c>
      <c r="O146" s="29"/>
      <c r="P146" s="29"/>
      <c r="Q146" s="29"/>
      <c r="R146" s="29"/>
      <c r="S146" s="29"/>
      <c r="T146" s="29"/>
      <c r="U146" s="29"/>
      <c r="V146" s="29"/>
      <c r="W146" s="29"/>
      <c r="X146" s="29"/>
      <c r="Y146" s="29"/>
      <c r="Z146" s="29"/>
      <c r="AA146" s="29"/>
      <c r="AB146" s="29"/>
    </row>
    <row r="147">
      <c r="A147" s="29" t="str">
        <f>IFERROR(__xludf.DUMMYFUNCTION("""COMPUTED_VALUE"""),"Sequencing")</f>
        <v>Sequencing</v>
      </c>
      <c r="B147" s="29" t="str">
        <f>IFERROR(__xludf.DUMMYFUNCTION("""COMPUTED_VALUE"""),"sequencing date")</f>
        <v>sequencing date</v>
      </c>
      <c r="C147" s="29"/>
      <c r="D147" s="29" t="str">
        <f>IFERROR(__xludf.DUMMYFUNCTION("""COMPUTED_VALUE"""),"")</f>
        <v/>
      </c>
      <c r="E147" s="29" t="str">
        <f>IFERROR(__xludf.DUMMYFUNCTION("""COMPUTED_VALUE"""),"GENEPIO:0001447")</f>
        <v>GENEPIO:0001447</v>
      </c>
      <c r="F147" s="29" t="str">
        <f>IFERROR(__xludf.DUMMYFUNCTION("""COMPUTED_VALUE"""),"The date the sample was sequenced.")</f>
        <v>The date the sample was sequenced.</v>
      </c>
      <c r="G147" s="29" t="str">
        <f>IFERROR(__xludf.DUMMYFUNCTION("""COMPUTED_VALUE"""),"ISO 8601 standard ""YYYY-MM-DD"".")</f>
        <v>ISO 8601 standard "YYYY-MM-DD".</v>
      </c>
      <c r="H147" s="35">
        <f>IFERROR(__xludf.DUMMYFUNCTION("""COMPUTED_VALUE"""),44004.0)</f>
        <v>44004</v>
      </c>
      <c r="I147" s="29"/>
      <c r="J147" s="29"/>
      <c r="K147" s="30" t="s">
        <v>21</v>
      </c>
      <c r="L147" s="30" t="s">
        <v>21</v>
      </c>
      <c r="M147" s="30" t="s">
        <v>21</v>
      </c>
      <c r="N147" s="31" t="str">
        <f>IFERROR(__xludf.DUMMYFUNCTION("""COMPUTED_VALUE"""),"MpoxInternational")</f>
        <v>MpoxInternational</v>
      </c>
      <c r="O147" s="29"/>
      <c r="P147" s="29"/>
      <c r="Q147" s="29"/>
      <c r="R147" s="29"/>
      <c r="S147" s="29"/>
      <c r="T147" s="29"/>
      <c r="U147" s="29"/>
      <c r="V147" s="29"/>
      <c r="W147" s="29"/>
      <c r="X147" s="29"/>
      <c r="Y147" s="29"/>
      <c r="Z147" s="29"/>
      <c r="AA147" s="29"/>
      <c r="AB147" s="29"/>
    </row>
    <row r="148">
      <c r="A148" s="29" t="str">
        <f>IFERROR(__xludf.DUMMYFUNCTION("""COMPUTED_VALUE"""),"Sequencing")</f>
        <v>Sequencing</v>
      </c>
      <c r="B148" s="29" t="str">
        <f>IFERROR(__xludf.DUMMYFUNCTION("""COMPUTED_VALUE"""),"library ID")</f>
        <v>library ID</v>
      </c>
      <c r="C148" s="29"/>
      <c r="D148" s="29" t="b">
        <f>IFERROR(__xludf.DUMMYFUNCTION("""COMPUTED_VALUE"""),TRUE)</f>
        <v>1</v>
      </c>
      <c r="E148" s="29" t="str">
        <f>IFERROR(__xludf.DUMMYFUNCTION("""COMPUTED_VALUE"""),"GENEPIO:0001448")</f>
        <v>GENEPIO:0001448</v>
      </c>
      <c r="F148" s="29" t="str">
        <f>IFERROR(__xludf.DUMMYFUNCTION("""COMPUTED_VALUE"""),"The user-specified identifier for the library prepared for sequencing.")</f>
        <v>The user-specified identifier for the library prepared for sequencing.</v>
      </c>
      <c r="G148"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8" s="29" t="str">
        <f>IFERROR(__xludf.DUMMYFUNCTION("""COMPUTED_VALUE"""),"XYZ_123345")</f>
        <v>XYZ_123345</v>
      </c>
      <c r="I148" s="29"/>
      <c r="J148" s="29"/>
      <c r="K148" s="30" t="s">
        <v>21</v>
      </c>
      <c r="L148" s="30" t="s">
        <v>21</v>
      </c>
      <c r="M148" s="30" t="s">
        <v>21</v>
      </c>
      <c r="N148" s="31" t="str">
        <f>IFERROR(__xludf.DUMMYFUNCTION("""COMPUTED_VALUE"""),"Mpox;MpoxInternational")</f>
        <v>Mpox;MpoxInternational</v>
      </c>
      <c r="O148" s="29"/>
      <c r="P148" s="29"/>
      <c r="Q148" s="29"/>
      <c r="R148" s="29"/>
      <c r="S148" s="29"/>
      <c r="T148" s="29"/>
      <c r="U148" s="29"/>
      <c r="V148" s="29"/>
      <c r="W148" s="29"/>
      <c r="X148" s="29"/>
      <c r="Y148" s="29"/>
      <c r="Z148" s="29"/>
      <c r="AA148" s="29"/>
      <c r="AB148" s="29"/>
    </row>
    <row r="149">
      <c r="A149" s="29" t="str">
        <f>IFERROR(__xludf.DUMMYFUNCTION("""COMPUTED_VALUE"""),"Sequencing")</f>
        <v>Sequencing</v>
      </c>
      <c r="B149" s="29" t="str">
        <f>IFERROR(__xludf.DUMMYFUNCTION("""COMPUTED_VALUE"""),"library preparation kit")</f>
        <v>library preparation kit</v>
      </c>
      <c r="C149" s="29" t="str">
        <f>IFERROR(__xludf.DUMMYFUNCTION("""COMPUTED_VALUE"""),"")</f>
        <v/>
      </c>
      <c r="D149" s="29" t="str">
        <f>IFERROR(__xludf.DUMMYFUNCTION("""COMPUTED_VALUE"""),"")</f>
        <v/>
      </c>
      <c r="E149" s="29" t="str">
        <f>IFERROR(__xludf.DUMMYFUNCTION("""COMPUTED_VALUE"""),"GENEPIO:0001450")</f>
        <v>GENEPIO:0001450</v>
      </c>
      <c r="F149" s="29" t="str">
        <f>IFERROR(__xludf.DUMMYFUNCTION("""COMPUTED_VALUE"""),"The name of the DNA library preparation kit used to generate the library being sequenced.")</f>
        <v>The name of the DNA library preparation kit used to generate the library being sequenced.</v>
      </c>
      <c r="G149" s="29" t="str">
        <f>IFERROR(__xludf.DUMMYFUNCTION("""COMPUTED_VALUE"""),"Provide the name of the library preparation kit used.")</f>
        <v>Provide the name of the library preparation kit used.</v>
      </c>
      <c r="H149" s="29" t="str">
        <f>IFERROR(__xludf.DUMMYFUNCTION("""COMPUTED_VALUE"""),"Nextera XT")</f>
        <v>Nextera XT</v>
      </c>
      <c r="I149" s="29"/>
      <c r="J149" s="29"/>
      <c r="K149" s="30" t="s">
        <v>21</v>
      </c>
      <c r="L149" s="30" t="s">
        <v>21</v>
      </c>
      <c r="M149" s="30" t="s">
        <v>21</v>
      </c>
      <c r="N149" s="31" t="str">
        <f>IFERROR(__xludf.DUMMYFUNCTION("""COMPUTED_VALUE"""),"Mpox;MpoxInternational")</f>
        <v>Mpox;MpoxInternational</v>
      </c>
      <c r="O149" s="29"/>
      <c r="P149" s="29"/>
      <c r="Q149" s="29"/>
      <c r="R149" s="29"/>
      <c r="S149" s="29"/>
      <c r="T149" s="29"/>
      <c r="U149" s="29"/>
      <c r="V149" s="29"/>
      <c r="W149" s="29"/>
      <c r="X149" s="29"/>
      <c r="Y149" s="29"/>
      <c r="Z149" s="29"/>
      <c r="AA149" s="29"/>
      <c r="AB149" s="29"/>
    </row>
    <row r="150">
      <c r="A150" s="29" t="str">
        <f>IFERROR(__xludf.DUMMYFUNCTION("""COMPUTED_VALUE"""),"Sequencing")</f>
        <v>Sequencing</v>
      </c>
      <c r="B150" s="29" t="str">
        <f>IFERROR(__xludf.DUMMYFUNCTION("""COMPUTED_VALUE"""),"sequencing assay type")</f>
        <v>sequencing assay type</v>
      </c>
      <c r="C150" s="29"/>
      <c r="D150" s="29"/>
      <c r="E150" s="29" t="str">
        <f>IFERROR(__xludf.DUMMYFUNCTION("""COMPUTED_VALUE"""),"GENEPIO:0100997")</f>
        <v>GENEPIO:0100997</v>
      </c>
      <c r="F150" s="29" t="str">
        <f>IFERROR(__xludf.DUMMYFUNCTION("""COMPUTED_VALUE"""),"The overarching sequencing methodology that was used to determine the sequence of a biomaterial.")</f>
        <v>The overarching sequencing methodology that was used to determine the sequence of a biomaterial.</v>
      </c>
      <c r="G150"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50" s="29" t="str">
        <f>IFERROR(__xludf.DUMMYFUNCTION("""COMPUTED_VALUE"""),"whole genome sequencing assay [OBI:0002117]")</f>
        <v>whole genome sequencing assay [OBI:0002117]</v>
      </c>
      <c r="I150" s="29"/>
      <c r="J150" s="29"/>
      <c r="K150" s="30" t="s">
        <v>21</v>
      </c>
      <c r="L150" s="30" t="s">
        <v>21</v>
      </c>
      <c r="M150" s="30" t="s">
        <v>21</v>
      </c>
      <c r="N150" s="31" t="str">
        <f>IFERROR(__xludf.DUMMYFUNCTION("""COMPUTED_VALUE"""),"MpoxInternational")</f>
        <v>MpoxInternational</v>
      </c>
      <c r="O150" s="29"/>
      <c r="P150" s="29"/>
      <c r="Q150" s="29"/>
      <c r="R150" s="29"/>
      <c r="S150" s="29"/>
      <c r="T150" s="29"/>
      <c r="U150" s="29"/>
      <c r="V150" s="29"/>
      <c r="W150" s="29"/>
      <c r="X150" s="29"/>
      <c r="Y150" s="29"/>
      <c r="Z150" s="29"/>
      <c r="AA150" s="29"/>
      <c r="AB150" s="29"/>
    </row>
    <row r="151">
      <c r="A151" s="29" t="str">
        <f>IFERROR(__xludf.DUMMYFUNCTION("""COMPUTED_VALUE"""),"Sequencing")</f>
        <v>Sequencing</v>
      </c>
      <c r="B151" s="29" t="str">
        <f>IFERROR(__xludf.DUMMYFUNCTION("""COMPUTED_VALUE"""),"sequencing instrument")</f>
        <v>sequencing instrument</v>
      </c>
      <c r="C151" s="29" t="b">
        <f>IFERROR(__xludf.DUMMYFUNCTION("""COMPUTED_VALUE"""),TRUE)</f>
        <v>1</v>
      </c>
      <c r="D151" s="29" t="str">
        <f>IFERROR(__xludf.DUMMYFUNCTION("""COMPUTED_VALUE"""),"")</f>
        <v/>
      </c>
      <c r="E151" s="29" t="str">
        <f>IFERROR(__xludf.DUMMYFUNCTION("""COMPUTED_VALUE"""),"GENEPIO:0001452")</f>
        <v>GENEPIO:0001452</v>
      </c>
      <c r="F151" s="29" t="str">
        <f>IFERROR(__xludf.DUMMYFUNCTION("""COMPUTED_VALUE"""),"The model of the sequencing instrument used.")</f>
        <v>The model of the sequencing instrument used.</v>
      </c>
      <c r="G151" s="29" t="str">
        <f>IFERROR(__xludf.DUMMYFUNCTION("""COMPUTED_VALUE"""),"Select a sequencing instrument from the picklist provided in the template.")</f>
        <v>Select a sequencing instrument from the picklist provided in the template.</v>
      </c>
      <c r="H151" s="29" t="str">
        <f>IFERROR(__xludf.DUMMYFUNCTION("""COMPUTED_VALUE"""),"Oxford Nanopore MinION")</f>
        <v>Oxford Nanopore MinION</v>
      </c>
      <c r="I151" s="29"/>
      <c r="J151" s="29"/>
      <c r="K151" s="30" t="s">
        <v>21</v>
      </c>
      <c r="L151" s="30" t="s">
        <v>21</v>
      </c>
      <c r="M151" s="30" t="s">
        <v>21</v>
      </c>
      <c r="N151" s="31" t="str">
        <f>IFERROR(__xludf.DUMMYFUNCTION("""COMPUTED_VALUE"""),"Mpox")</f>
        <v>Mpox</v>
      </c>
      <c r="O151" s="29"/>
      <c r="P151" s="29"/>
      <c r="Q151" s="29"/>
      <c r="R151" s="29"/>
      <c r="S151" s="29"/>
      <c r="T151" s="29"/>
      <c r="U151" s="29"/>
      <c r="V151" s="29"/>
      <c r="W151" s="29"/>
      <c r="X151" s="29"/>
      <c r="Y151" s="29"/>
      <c r="Z151" s="29"/>
      <c r="AA151" s="29"/>
      <c r="AB151" s="29"/>
    </row>
    <row r="152">
      <c r="A152" s="29" t="str">
        <f>IFERROR(__xludf.DUMMYFUNCTION("""COMPUTED_VALUE"""),"Sequencing")</f>
        <v>Sequencing</v>
      </c>
      <c r="B152" s="29" t="str">
        <f>IFERROR(__xludf.DUMMYFUNCTION("""COMPUTED_VALUE"""),"sequencing instrument")</f>
        <v>sequencing instrument</v>
      </c>
      <c r="C152" s="29" t="b">
        <f>IFERROR(__xludf.DUMMYFUNCTION("""COMPUTED_VALUE"""),TRUE)</f>
        <v>1</v>
      </c>
      <c r="D152" s="29" t="str">
        <f>IFERROR(__xludf.DUMMYFUNCTION("""COMPUTED_VALUE"""),"")</f>
        <v/>
      </c>
      <c r="E152" s="29" t="str">
        <f>IFERROR(__xludf.DUMMYFUNCTION("""COMPUTED_VALUE"""),"GENEPIO:0001452")</f>
        <v>GENEPIO:0001452</v>
      </c>
      <c r="F152" s="29" t="str">
        <f>IFERROR(__xludf.DUMMYFUNCTION("""COMPUTED_VALUE"""),"The model of the sequencing instrument used.")</f>
        <v>The model of the sequencing instrument used.</v>
      </c>
      <c r="G152" s="29" t="str">
        <f>IFERROR(__xludf.DUMMYFUNCTION("""COMPUTED_VALUE"""),"Select a sequencing instrument from the picklist provided in the template.")</f>
        <v>Select a sequencing instrument from the picklist provided in the template.</v>
      </c>
      <c r="H152" s="29" t="str">
        <f>IFERROR(__xludf.DUMMYFUNCTION("""COMPUTED_VALUE"""),"Oxford Nanopore MinION [GENEPIO:0100142]")</f>
        <v>Oxford Nanopore MinION [GENEPIO:0100142]</v>
      </c>
      <c r="I152" s="29"/>
      <c r="J152" s="29"/>
      <c r="K152" s="30" t="s">
        <v>21</v>
      </c>
      <c r="L152" s="30" t="s">
        <v>21</v>
      </c>
      <c r="M152" s="30" t="s">
        <v>21</v>
      </c>
      <c r="N152" s="31" t="str">
        <f>IFERROR(__xludf.DUMMYFUNCTION("""COMPUTED_VALUE"""),"MpoxInternational")</f>
        <v>MpoxInternational</v>
      </c>
      <c r="O152" s="29"/>
      <c r="P152" s="29"/>
      <c r="Q152" s="29"/>
      <c r="R152" s="29"/>
      <c r="S152" s="29"/>
      <c r="T152" s="29"/>
      <c r="U152" s="29"/>
      <c r="V152" s="29"/>
      <c r="W152" s="29"/>
      <c r="X152" s="29"/>
      <c r="Y152" s="29"/>
      <c r="Z152" s="29"/>
      <c r="AA152" s="29"/>
      <c r="AB152" s="29"/>
    </row>
    <row r="153">
      <c r="A153" s="29" t="str">
        <f>IFERROR(__xludf.DUMMYFUNCTION("""COMPUTED_VALUE"""),"Sequencing")</f>
        <v>Sequencing</v>
      </c>
      <c r="B153" s="29" t="str">
        <f>IFERROR(__xludf.DUMMYFUNCTION("""COMPUTED_VALUE"""),"sequencing flow cell version")</f>
        <v>sequencing flow cell version</v>
      </c>
      <c r="C153" s="29"/>
      <c r="D153" s="29"/>
      <c r="E153" s="33" t="str">
        <f>IFERROR(__xludf.DUMMYFUNCTION("""COMPUTED_VALUE"""),"GENEPIO:0101102")</f>
        <v>GENEPIO:0101102</v>
      </c>
      <c r="F153" s="29" t="str">
        <f>IFERROR(__xludf.DUMMYFUNCTION("""COMPUTED_VALUE"""),"The version number of the flow cell used for generating sequence data.")</f>
        <v>The version number of the flow cell used for generating sequence data.</v>
      </c>
      <c r="G153"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53" s="29" t="str">
        <f>IFERROR(__xludf.DUMMYFUNCTION("""COMPUTED_VALUE"""),"R.9.4.1")</f>
        <v>R.9.4.1</v>
      </c>
      <c r="I153" s="29"/>
      <c r="J153" s="29"/>
      <c r="K153" s="30" t="s">
        <v>21</v>
      </c>
      <c r="L153" s="30" t="s">
        <v>21</v>
      </c>
      <c r="M153" s="30" t="s">
        <v>21</v>
      </c>
      <c r="N153" s="31" t="str">
        <f>IFERROR(__xludf.DUMMYFUNCTION("""COMPUTED_VALUE"""),"MpoxInternational")</f>
        <v>MpoxInternational</v>
      </c>
      <c r="O153" s="29"/>
      <c r="P153" s="29"/>
      <c r="Q153" s="29"/>
      <c r="R153" s="29"/>
      <c r="S153" s="29"/>
      <c r="T153" s="29"/>
      <c r="U153" s="29"/>
      <c r="V153" s="29"/>
      <c r="W153" s="29"/>
      <c r="X153" s="29"/>
      <c r="Y153" s="29"/>
      <c r="Z153" s="29"/>
      <c r="AA153" s="29"/>
      <c r="AB153" s="29"/>
    </row>
    <row r="154">
      <c r="A154" s="29" t="str">
        <f>IFERROR(__xludf.DUMMYFUNCTION("""COMPUTED_VALUE"""),"Sequencing")</f>
        <v>Sequencing</v>
      </c>
      <c r="B154" s="29" t="str">
        <f>IFERROR(__xludf.DUMMYFUNCTION("""COMPUTED_VALUE"""),"sequencing protocol  ")</f>
        <v>sequencing protocol  </v>
      </c>
      <c r="C154" s="29" t="str">
        <f>IFERROR(__xludf.DUMMYFUNCTION("""COMPUTED_VALUE"""),"")</f>
        <v/>
      </c>
      <c r="D154" s="29" t="str">
        <f>IFERROR(__xludf.DUMMYFUNCTION("""COMPUTED_VALUE"""),"")</f>
        <v/>
      </c>
      <c r="E154" s="29" t="str">
        <f>IFERROR(__xludf.DUMMYFUNCTION("""COMPUTED_VALUE"""),"GENEPIO:0001454")</f>
        <v>GENEPIO:0001454</v>
      </c>
      <c r="F154" s="29" t="str">
        <f>IFERROR(__xludf.DUMMYFUNCTION("""COMPUTED_VALUE"""),"The protocol used to generate the sequence.")</f>
        <v>The protocol used to generate the sequence.</v>
      </c>
      <c r="G154"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54"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54" s="29"/>
      <c r="J154" s="29"/>
      <c r="K154" s="30" t="s">
        <v>21</v>
      </c>
      <c r="L154" s="30" t="s">
        <v>21</v>
      </c>
      <c r="M154" s="30" t="s">
        <v>21</v>
      </c>
      <c r="N154" s="31" t="str">
        <f>IFERROR(__xludf.DUMMYFUNCTION("""COMPUTED_VALUE"""),"Mpox;MpoxInternational")</f>
        <v>Mpox;MpoxInternational</v>
      </c>
      <c r="O154" s="29"/>
      <c r="P154" s="29"/>
      <c r="Q154" s="29"/>
      <c r="R154" s="29"/>
      <c r="S154" s="29"/>
      <c r="T154" s="29"/>
      <c r="U154" s="29"/>
      <c r="V154" s="29"/>
      <c r="W154" s="29"/>
      <c r="X154" s="29"/>
      <c r="Y154" s="29"/>
      <c r="Z154" s="29"/>
      <c r="AA154" s="29"/>
      <c r="AB154" s="29"/>
    </row>
    <row r="155">
      <c r="A155" s="29" t="str">
        <f>IFERROR(__xludf.DUMMYFUNCTION("""COMPUTED_VALUE"""),"Sequencing")</f>
        <v>Sequencing</v>
      </c>
      <c r="B155" s="29" t="str">
        <f>IFERROR(__xludf.DUMMYFUNCTION("""COMPUTED_VALUE"""),"sequencing kit number")</f>
        <v>sequencing kit number</v>
      </c>
      <c r="C155" s="29"/>
      <c r="D155" s="29"/>
      <c r="E155" s="29" t="str">
        <f>IFERROR(__xludf.DUMMYFUNCTION("""COMPUTED_VALUE"""),"GENEPIO:0001455")</f>
        <v>GENEPIO:0001455</v>
      </c>
      <c r="F155" s="29" t="str">
        <f>IFERROR(__xludf.DUMMYFUNCTION("""COMPUTED_VALUE"""),"The manufacturer's kit number.")</f>
        <v>The manufacturer's kit number.</v>
      </c>
      <c r="G155" s="29" t="str">
        <f>IFERROR(__xludf.DUMMYFUNCTION("""COMPUTED_VALUE"""),"Alphanumeric value.")</f>
        <v>Alphanumeric value.</v>
      </c>
      <c r="H155" s="29" t="str">
        <f>IFERROR(__xludf.DUMMYFUNCTION("""COMPUTED_VALUE"""),"AB456XYZ789")</f>
        <v>AB456XYZ789</v>
      </c>
      <c r="I155" s="29"/>
      <c r="J155" s="29"/>
      <c r="K155" s="30" t="s">
        <v>21</v>
      </c>
      <c r="L155" s="30" t="s">
        <v>21</v>
      </c>
      <c r="M155" s="30" t="s">
        <v>21</v>
      </c>
      <c r="N155" s="31" t="str">
        <f>IFERROR(__xludf.DUMMYFUNCTION("""COMPUTED_VALUE"""),"Mpox;MpoxInternational")</f>
        <v>Mpox;MpoxInternational</v>
      </c>
      <c r="O155" s="29"/>
      <c r="P155" s="29"/>
      <c r="Q155" s="29"/>
      <c r="R155" s="29"/>
      <c r="S155" s="29"/>
      <c r="T155" s="29"/>
      <c r="U155" s="29"/>
      <c r="V155" s="29"/>
      <c r="W155" s="29"/>
      <c r="X155" s="29"/>
      <c r="Y155" s="29"/>
      <c r="Z155" s="29"/>
      <c r="AA155" s="29"/>
      <c r="AB155" s="29"/>
    </row>
    <row r="156">
      <c r="A156" s="29" t="str">
        <f>IFERROR(__xludf.DUMMYFUNCTION("""COMPUTED_VALUE"""),"Sequencing")</f>
        <v>Sequencing</v>
      </c>
      <c r="B156" s="29" t="str">
        <f>IFERROR(__xludf.DUMMYFUNCTION("""COMPUTED_VALUE"""),"DNA fragment length")</f>
        <v>DNA fragment length</v>
      </c>
      <c r="C156" s="29"/>
      <c r="D156" s="29"/>
      <c r="E156" s="33" t="str">
        <f>IFERROR(__xludf.DUMMYFUNCTION("""COMPUTED_VALUE"""),"GENEPIO:0100843")</f>
        <v>GENEPIO:0100843</v>
      </c>
      <c r="F156"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6" s="29" t="str">
        <f>IFERROR(__xludf.DUMMYFUNCTION("""COMPUTED_VALUE"""),"Provide the fragment length in base pairs (do not include the units).")</f>
        <v>Provide the fragment length in base pairs (do not include the units).</v>
      </c>
      <c r="H156" s="29">
        <f>IFERROR(__xludf.DUMMYFUNCTION("""COMPUTED_VALUE"""),400.0)</f>
        <v>400</v>
      </c>
      <c r="I156" s="29"/>
      <c r="J156" s="29"/>
      <c r="K156" s="30" t="s">
        <v>21</v>
      </c>
      <c r="L156" s="30" t="s">
        <v>21</v>
      </c>
      <c r="M156" s="30" t="s">
        <v>21</v>
      </c>
      <c r="N156" s="31" t="str">
        <f>IFERROR(__xludf.DUMMYFUNCTION("""COMPUTED_VALUE"""),"MpoxInternational")</f>
        <v>MpoxInternational</v>
      </c>
      <c r="O156" s="29"/>
      <c r="P156" s="29"/>
      <c r="Q156" s="29"/>
      <c r="R156" s="29"/>
      <c r="S156" s="29"/>
      <c r="T156" s="29"/>
      <c r="U156" s="29"/>
      <c r="V156" s="29"/>
      <c r="W156" s="29"/>
      <c r="X156" s="29"/>
      <c r="Y156" s="29"/>
      <c r="Z156" s="29"/>
      <c r="AA156" s="29"/>
      <c r="AB156" s="29"/>
    </row>
    <row r="157">
      <c r="A157" s="29" t="str">
        <f>IFERROR(__xludf.DUMMYFUNCTION("""COMPUTED_VALUE"""),"Sequencing")</f>
        <v>Sequencing</v>
      </c>
      <c r="B157" s="29" t="str">
        <f>IFERROR(__xludf.DUMMYFUNCTION("""COMPUTED_VALUE"""),"genomic target enrichment method")</f>
        <v>genomic target enrichment method</v>
      </c>
      <c r="C157" s="29"/>
      <c r="D157" s="29" t="b">
        <f>IFERROR(__xludf.DUMMYFUNCTION("""COMPUTED_VALUE"""),TRUE)</f>
        <v>1</v>
      </c>
      <c r="E157" s="33" t="str">
        <f>IFERROR(__xludf.DUMMYFUNCTION("""COMPUTED_VALUE"""),"GENEPIO:0100966")</f>
        <v>GENEPIO:0100966</v>
      </c>
      <c r="F157" s="29" t="str">
        <f>IFERROR(__xludf.DUMMYFUNCTION("""COMPUTED_VALUE"""),"The molecular technique used to selectively capture and amplify specific regions of interest from a genome.")</f>
        <v>The molecular technique used to selectively capture and amplify specific regions of interest from a genome.</v>
      </c>
      <c r="G157" s="29" t="str">
        <f>IFERROR(__xludf.DUMMYFUNCTION("""COMPUTED_VALUE"""),"Provide the name of the enrichment method")</f>
        <v>Provide the name of the enrichment method</v>
      </c>
      <c r="H157" s="29" t="str">
        <f>IFERROR(__xludf.DUMMYFUNCTION("""COMPUTED_VALUE"""),"hybrid selection method")</f>
        <v>hybrid selection method</v>
      </c>
      <c r="I157" s="29"/>
      <c r="J157" s="29"/>
      <c r="K157" s="30" t="s">
        <v>21</v>
      </c>
      <c r="L157" s="30" t="s">
        <v>21</v>
      </c>
      <c r="M157" s="30" t="s">
        <v>21</v>
      </c>
      <c r="N157" s="31" t="str">
        <f>IFERROR(__xludf.DUMMYFUNCTION("""COMPUTED_VALUE"""),"MpoxInternational")</f>
        <v>MpoxInternational</v>
      </c>
      <c r="O157" s="29"/>
      <c r="P157" s="29"/>
      <c r="Q157" s="29"/>
      <c r="R157" s="29"/>
      <c r="S157" s="29"/>
      <c r="T157" s="29"/>
      <c r="U157" s="29"/>
      <c r="V157" s="29"/>
      <c r="W157" s="29"/>
      <c r="X157" s="29"/>
      <c r="Y157" s="29"/>
      <c r="Z157" s="29"/>
      <c r="AA157" s="29"/>
      <c r="AB157" s="29"/>
    </row>
    <row r="158">
      <c r="A158" s="29" t="str">
        <f>IFERROR(__xludf.DUMMYFUNCTION("""COMPUTED_VALUE"""),"Sequencing")</f>
        <v>Sequencing</v>
      </c>
      <c r="B158" s="29" t="str">
        <f>IFERROR(__xludf.DUMMYFUNCTION("""COMPUTED_VALUE"""),"genomic target enrichment method details")</f>
        <v>genomic target enrichment method details</v>
      </c>
      <c r="C158" s="29"/>
      <c r="D158" s="29"/>
      <c r="E158" s="33" t="str">
        <f>IFERROR(__xludf.DUMMYFUNCTION("""COMPUTED_VALUE"""),"GENEPIO:0100967")</f>
        <v>GENEPIO:0100967</v>
      </c>
      <c r="F158"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58" s="29" t="str">
        <f>IFERROR(__xludf.DUMMYFUNCTION("""COMPUTED_VALUE"""),"Provide details that are applicable to the method you used.")</f>
        <v>Provide details that are applicable to the method you used.</v>
      </c>
      <c r="H158"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58" s="29"/>
      <c r="J158" s="29"/>
      <c r="K158" s="30" t="s">
        <v>21</v>
      </c>
      <c r="L158" s="30" t="s">
        <v>21</v>
      </c>
      <c r="M158" s="30" t="s">
        <v>21</v>
      </c>
      <c r="N158" s="40" t="str">
        <f>IFERROR(__xludf.DUMMYFUNCTION("""COMPUTED_VALUE"""),"MpoxInternational")</f>
        <v>MpoxInternational</v>
      </c>
      <c r="O158" s="29"/>
      <c r="P158" s="29"/>
      <c r="Q158" s="29"/>
      <c r="R158" s="29"/>
      <c r="S158" s="29"/>
      <c r="T158" s="29"/>
      <c r="U158" s="29"/>
      <c r="V158" s="29"/>
      <c r="W158" s="29"/>
      <c r="X158" s="29"/>
      <c r="Y158" s="29"/>
      <c r="Z158" s="29"/>
      <c r="AA158" s="29"/>
      <c r="AB158" s="29"/>
    </row>
    <row r="159">
      <c r="A159" s="29" t="str">
        <f>IFERROR(__xludf.DUMMYFUNCTION("""COMPUTED_VALUE"""),"Sequencing")</f>
        <v>Sequencing</v>
      </c>
      <c r="B159" s="29" t="str">
        <f>IFERROR(__xludf.DUMMYFUNCTION("""COMPUTED_VALUE"""),"amplicon pcr primer scheme")</f>
        <v>amplicon pcr primer scheme</v>
      </c>
      <c r="C159" s="29"/>
      <c r="D159" s="29"/>
      <c r="E159" s="29" t="str">
        <f>IFERROR(__xludf.DUMMYFUNCTION("""COMPUTED_VALUE"""),"GENEPIO:0001456")</f>
        <v>GENEPIO:0001456</v>
      </c>
      <c r="F159"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59" s="29" t="str">
        <f>IFERROR(__xludf.DUMMYFUNCTION("""COMPUTED_VALUE"""),"Provide the name and version of the primer scheme used to generate the amplicons for sequencing.")</f>
        <v>Provide the name and version of the primer scheme used to generate the amplicons for sequencing.</v>
      </c>
      <c r="H159" s="29" t="str">
        <f>IFERROR(__xludf.DUMMYFUNCTION("""COMPUTED_VALUE"""),"MPXV Sunrise 3.1")</f>
        <v>MPXV Sunrise 3.1</v>
      </c>
      <c r="I159" s="29"/>
      <c r="J159" s="29"/>
      <c r="K159" s="30" t="s">
        <v>21</v>
      </c>
      <c r="L159" s="30" t="s">
        <v>21</v>
      </c>
      <c r="M159" s="30" t="s">
        <v>21</v>
      </c>
      <c r="N159" s="31" t="str">
        <f>IFERROR(__xludf.DUMMYFUNCTION("""COMPUTED_VALUE"""),"Mpox;MpoxInternational")</f>
        <v>Mpox;MpoxInternational</v>
      </c>
      <c r="O159" s="29"/>
      <c r="P159" s="29"/>
      <c r="Q159" s="29"/>
      <c r="R159" s="29"/>
      <c r="S159" s="29"/>
      <c r="T159" s="29"/>
      <c r="U159" s="29"/>
      <c r="V159" s="29"/>
      <c r="W159" s="29"/>
      <c r="X159" s="29"/>
      <c r="Y159" s="29"/>
      <c r="Z159" s="29"/>
      <c r="AA159" s="29"/>
      <c r="AB159" s="29"/>
    </row>
    <row r="160">
      <c r="A160" s="29" t="str">
        <f>IFERROR(__xludf.DUMMYFUNCTION("""COMPUTED_VALUE"""),"Sequencing")</f>
        <v>Sequencing</v>
      </c>
      <c r="B160" s="29" t="str">
        <f>IFERROR(__xludf.DUMMYFUNCTION("""COMPUTED_VALUE"""),"amplicon size")</f>
        <v>amplicon size</v>
      </c>
      <c r="C160" s="29"/>
      <c r="D160" s="29"/>
      <c r="E160" s="29" t="str">
        <f>IFERROR(__xludf.DUMMYFUNCTION("""COMPUTED_VALUE"""),"GENEPIO:0001449")</f>
        <v>GENEPIO:0001449</v>
      </c>
      <c r="F160" s="29" t="str">
        <f>IFERROR(__xludf.DUMMYFUNCTION("""COMPUTED_VALUE"""),"The length of the amplicon generated by PCR amplification.")</f>
        <v>The length of the amplicon generated by PCR amplification.</v>
      </c>
      <c r="G160" s="29" t="str">
        <f>IFERROR(__xludf.DUMMYFUNCTION("""COMPUTED_VALUE"""),"Provide the amplicon size expressed in base pairs.")</f>
        <v>Provide the amplicon size expressed in base pairs.</v>
      </c>
      <c r="H160" s="29" t="str">
        <f>IFERROR(__xludf.DUMMYFUNCTION("""COMPUTED_VALUE"""),"300bp")</f>
        <v>300bp</v>
      </c>
      <c r="I160" s="29"/>
      <c r="J160" s="29"/>
      <c r="K160" s="30" t="s">
        <v>21</v>
      </c>
      <c r="L160" s="30" t="s">
        <v>21</v>
      </c>
      <c r="M160" s="30" t="s">
        <v>21</v>
      </c>
      <c r="N160" s="31" t="str">
        <f>IFERROR(__xludf.DUMMYFUNCTION("""COMPUTED_VALUE"""),"Mpox;MpoxInternational")</f>
        <v>Mpox;MpoxInternational</v>
      </c>
      <c r="O160" s="29"/>
      <c r="P160" s="29"/>
      <c r="Q160" s="29"/>
      <c r="R160" s="29"/>
      <c r="S160" s="29"/>
      <c r="T160" s="29"/>
      <c r="U160" s="29"/>
      <c r="V160" s="29"/>
      <c r="W160" s="29"/>
      <c r="X160" s="29"/>
      <c r="Y160" s="29"/>
      <c r="Z160" s="29"/>
      <c r="AA160" s="29"/>
      <c r="AB160" s="29"/>
    </row>
    <row r="161">
      <c r="A161" s="29"/>
      <c r="B161" s="29" t="str">
        <f>IFERROR(__xludf.DUMMYFUNCTION("""COMPUTED_VALUE"""),"Bioinformatics and QC metrics")</f>
        <v>Bioinformatics and QC metrics</v>
      </c>
      <c r="C161" s="29" t="str">
        <f>IFERROR(__xludf.DUMMYFUNCTION("""COMPUTED_VALUE"""),"")</f>
        <v/>
      </c>
      <c r="D161" s="29" t="str">
        <f>IFERROR(__xludf.DUMMYFUNCTION("""COMPUTED_VALUE"""),"")</f>
        <v/>
      </c>
      <c r="E161" s="29" t="str">
        <f>IFERROR(__xludf.DUMMYFUNCTION("""COMPUTED_VALUE"""),"GENEPIO:0001457")</f>
        <v>GENEPIO:0001457</v>
      </c>
      <c r="F161" s="29"/>
      <c r="G161" s="29"/>
      <c r="H161" s="29"/>
      <c r="I161" s="29"/>
      <c r="J161" s="29"/>
      <c r="K161" s="30"/>
      <c r="L161" s="30"/>
      <c r="M161" s="30"/>
      <c r="N161" s="31" t="str">
        <f>IFERROR(__xludf.DUMMYFUNCTION("""COMPUTED_VALUE"""),"Mpox;MpoxInternational")</f>
        <v>Mpox;MpoxInternational</v>
      </c>
      <c r="O161" s="29"/>
      <c r="P161" s="29"/>
      <c r="Q161" s="29"/>
      <c r="R161" s="29"/>
      <c r="S161" s="29"/>
      <c r="T161" s="29"/>
      <c r="U161" s="29"/>
      <c r="V161" s="29"/>
      <c r="W161" s="29"/>
      <c r="X161" s="29"/>
      <c r="Y161" s="29"/>
      <c r="Z161" s="29"/>
      <c r="AA161" s="29"/>
      <c r="AB161" s="29"/>
    </row>
    <row r="162">
      <c r="A162" s="29" t="str">
        <f>IFERROR(__xludf.DUMMYFUNCTION("""COMPUTED_VALUE"""),"Bioinformatics and QC metrics")</f>
        <v>Bioinformatics and QC metrics</v>
      </c>
      <c r="B162" s="29" t="str">
        <f>IFERROR(__xludf.DUMMYFUNCTION("""COMPUTED_VALUE"""),"quality control method name")</f>
        <v>quality control method name</v>
      </c>
      <c r="C162" s="29"/>
      <c r="D162" s="29"/>
      <c r="E162" s="29" t="str">
        <f>IFERROR(__xludf.DUMMYFUNCTION("""COMPUTED_VALUE"""),"GENEPIO:0100557")</f>
        <v>GENEPIO:0100557</v>
      </c>
      <c r="F162" s="29" t="str">
        <f>IFERROR(__xludf.DUMMYFUNCTION("""COMPUTED_VALUE"""),"The name of the method used to assess whether a sequence passed a predetermined quality control threshold.")</f>
        <v>The name of the method used to assess whether a sequence passed a predetermined quality control threshold.</v>
      </c>
      <c r="G162"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62" s="29" t="str">
        <f>IFERROR(__xludf.DUMMYFUNCTION("""COMPUTED_VALUE"""),"ncov-tools")</f>
        <v>ncov-tools</v>
      </c>
      <c r="I162" s="29"/>
      <c r="J162" s="29"/>
      <c r="K162" s="30" t="s">
        <v>19</v>
      </c>
      <c r="L162" s="30" t="s">
        <v>19</v>
      </c>
      <c r="M162" s="30" t="s">
        <v>19</v>
      </c>
      <c r="N162" s="31" t="str">
        <f>IFERROR(__xludf.DUMMYFUNCTION("""COMPUTED_VALUE"""),"MpoxInternational")</f>
        <v>MpoxInternational</v>
      </c>
      <c r="O162" s="29"/>
      <c r="P162" s="29"/>
      <c r="Q162" s="29"/>
      <c r="R162" s="29"/>
      <c r="S162" s="29"/>
      <c r="T162" s="29"/>
      <c r="U162" s="29"/>
      <c r="V162" s="29"/>
      <c r="W162" s="29"/>
      <c r="X162" s="29"/>
      <c r="Y162" s="29"/>
      <c r="Z162" s="29"/>
      <c r="AA162" s="29"/>
      <c r="AB162" s="29"/>
    </row>
    <row r="163">
      <c r="A163" s="29" t="str">
        <f>IFERROR(__xludf.DUMMYFUNCTION("""COMPUTED_VALUE"""),"Bioinformatics and QC metrics")</f>
        <v>Bioinformatics and QC metrics</v>
      </c>
      <c r="B163" s="29" t="str">
        <f>IFERROR(__xludf.DUMMYFUNCTION("""COMPUTED_VALUE"""),"quality control method version")</f>
        <v>quality control method version</v>
      </c>
      <c r="C163" s="29"/>
      <c r="D163" s="29"/>
      <c r="E163" s="29" t="str">
        <f>IFERROR(__xludf.DUMMYFUNCTION("""COMPUTED_VALUE"""),"GENEPIO:0100558")</f>
        <v>GENEPIO:0100558</v>
      </c>
      <c r="F163"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63"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63" s="29" t="str">
        <f>IFERROR(__xludf.DUMMYFUNCTION("""COMPUTED_VALUE"""),"1.2.3")</f>
        <v>1.2.3</v>
      </c>
      <c r="I163" s="29"/>
      <c r="J163" s="29"/>
      <c r="K163" s="30" t="s">
        <v>19</v>
      </c>
      <c r="L163" s="30" t="s">
        <v>19</v>
      </c>
      <c r="M163" s="30" t="s">
        <v>19</v>
      </c>
      <c r="N163" s="31" t="str">
        <f>IFERROR(__xludf.DUMMYFUNCTION("""COMPUTED_VALUE"""),"MpoxInternational")</f>
        <v>MpoxInternational</v>
      </c>
      <c r="O163" s="29"/>
      <c r="P163" s="29"/>
      <c r="Q163" s="29"/>
      <c r="R163" s="29"/>
      <c r="S163" s="29"/>
      <c r="T163" s="29"/>
      <c r="U163" s="29"/>
      <c r="V163" s="29"/>
      <c r="W163" s="29"/>
      <c r="X163" s="29"/>
      <c r="Y163" s="29"/>
      <c r="Z163" s="29"/>
      <c r="AA163" s="29"/>
      <c r="AB163" s="29"/>
    </row>
    <row r="164">
      <c r="A164" s="29" t="str">
        <f>IFERROR(__xludf.DUMMYFUNCTION("""COMPUTED_VALUE"""),"Bioinformatics and QC metrics")</f>
        <v>Bioinformatics and QC metrics</v>
      </c>
      <c r="B164" s="29" t="str">
        <f>IFERROR(__xludf.DUMMYFUNCTION("""COMPUTED_VALUE"""),"quality control determination")</f>
        <v>quality control determination</v>
      </c>
      <c r="C164" s="29"/>
      <c r="D164" s="29"/>
      <c r="E164" s="29" t="str">
        <f>IFERROR(__xludf.DUMMYFUNCTION("""COMPUTED_VALUE"""),"GENEPIO:0100559")</f>
        <v>GENEPIO:0100559</v>
      </c>
      <c r="F164" s="29"/>
      <c r="G164" s="29"/>
      <c r="H164" s="29"/>
      <c r="I164" s="29"/>
      <c r="J164" s="29"/>
      <c r="K164" s="30" t="s">
        <v>19</v>
      </c>
      <c r="L164" s="30" t="s">
        <v>19</v>
      </c>
      <c r="M164" s="30" t="s">
        <v>19</v>
      </c>
      <c r="N164" s="31" t="str">
        <f>IFERROR(__xludf.DUMMYFUNCTION("""COMPUTED_VALUE"""),"MpoxInternational")</f>
        <v>MpoxInternational</v>
      </c>
      <c r="O164" s="29"/>
      <c r="P164" s="29"/>
      <c r="Q164" s="29"/>
      <c r="R164" s="29"/>
      <c r="S164" s="29"/>
      <c r="T164" s="29"/>
      <c r="U164" s="29"/>
      <c r="V164" s="29"/>
      <c r="W164" s="29"/>
      <c r="X164" s="29"/>
      <c r="Y164" s="29"/>
      <c r="Z164" s="29"/>
      <c r="AA164" s="29"/>
      <c r="AB164" s="29"/>
    </row>
    <row r="165">
      <c r="A165" s="29" t="str">
        <f>IFERROR(__xludf.DUMMYFUNCTION("""COMPUTED_VALUE"""),"Bioinformatics and QC metrics")</f>
        <v>Bioinformatics and QC metrics</v>
      </c>
      <c r="B165" s="29" t="str">
        <f>IFERROR(__xludf.DUMMYFUNCTION("""COMPUTED_VALUE"""),"quality control issues")</f>
        <v>quality control issues</v>
      </c>
      <c r="C165" s="29"/>
      <c r="D165" s="29"/>
      <c r="E165" s="29" t="str">
        <f>IFERROR(__xludf.DUMMYFUNCTION("""COMPUTED_VALUE"""),"GENEPIO:0100560")</f>
        <v>GENEPIO:0100560</v>
      </c>
      <c r="F165" s="29"/>
      <c r="G165" s="29"/>
      <c r="H165" s="29"/>
      <c r="I165" s="29"/>
      <c r="J165" s="29"/>
      <c r="K165" s="30" t="s">
        <v>19</v>
      </c>
      <c r="L165" s="30" t="s">
        <v>19</v>
      </c>
      <c r="M165" s="30" t="s">
        <v>19</v>
      </c>
      <c r="N165" s="31" t="str">
        <f>IFERROR(__xludf.DUMMYFUNCTION("""COMPUTED_VALUE"""),"MpoxInternational")</f>
        <v>MpoxInternational</v>
      </c>
      <c r="O165" s="29"/>
      <c r="P165" s="29"/>
      <c r="Q165" s="29"/>
      <c r="R165" s="29"/>
      <c r="S165" s="29"/>
      <c r="T165" s="29"/>
      <c r="U165" s="29"/>
      <c r="V165" s="29"/>
      <c r="W165" s="29"/>
      <c r="X165" s="29"/>
      <c r="Y165" s="29"/>
      <c r="Z165" s="29"/>
      <c r="AA165" s="29"/>
      <c r="AB165" s="29"/>
    </row>
    <row r="166">
      <c r="A166" s="29" t="str">
        <f>IFERROR(__xludf.DUMMYFUNCTION("""COMPUTED_VALUE"""),"Bioinformatics and QC metrics")</f>
        <v>Bioinformatics and QC metrics</v>
      </c>
      <c r="B166" s="29" t="str">
        <f>IFERROR(__xludf.DUMMYFUNCTION("""COMPUTED_VALUE"""),"quality control details")</f>
        <v>quality control details</v>
      </c>
      <c r="C166" s="29"/>
      <c r="D166" s="29"/>
      <c r="E166" s="29" t="str">
        <f>IFERROR(__xludf.DUMMYFUNCTION("""COMPUTED_VALUE"""),"GENEPIO:0100561")</f>
        <v>GENEPIO:0100561</v>
      </c>
      <c r="F166" s="29" t="str">
        <f>IFERROR(__xludf.DUMMYFUNCTION("""COMPUTED_VALUE"""),"The details surrounding a low quality determination in a quality control assessment.")</f>
        <v>The details surrounding a low quality determination in a quality control assessment.</v>
      </c>
      <c r="G166" s="29" t="str">
        <f>IFERROR(__xludf.DUMMYFUNCTION("""COMPUTED_VALUE"""),"Provide notes or details regarding QC results using free text.")</f>
        <v>Provide notes or details regarding QC results using free text.</v>
      </c>
      <c r="H166" s="29" t="str">
        <f>IFERROR(__xludf.DUMMYFUNCTION("""COMPUTED_VALUE"""),"CT value of 39. Low viral load. Low DNA concentration after amplification.")</f>
        <v>CT value of 39. Low viral load. Low DNA concentration after amplification.</v>
      </c>
      <c r="I166" s="29"/>
      <c r="J166" s="29"/>
      <c r="K166" s="30" t="s">
        <v>19</v>
      </c>
      <c r="L166" s="30" t="s">
        <v>19</v>
      </c>
      <c r="M166" s="30" t="s">
        <v>19</v>
      </c>
      <c r="N166" s="31" t="str">
        <f>IFERROR(__xludf.DUMMYFUNCTION("""COMPUTED_VALUE"""),"MpoxInternational")</f>
        <v>MpoxInternational</v>
      </c>
      <c r="O166" s="29"/>
      <c r="P166" s="29"/>
      <c r="Q166" s="29"/>
      <c r="R166" s="29"/>
      <c r="S166" s="29"/>
      <c r="T166" s="29"/>
      <c r="U166" s="29"/>
      <c r="V166" s="29"/>
      <c r="W166" s="29"/>
      <c r="X166" s="29"/>
      <c r="Y166" s="29"/>
      <c r="Z166" s="29"/>
      <c r="AA166" s="29"/>
      <c r="AB166" s="29"/>
    </row>
    <row r="167">
      <c r="A167" s="29" t="str">
        <f>IFERROR(__xludf.DUMMYFUNCTION("""COMPUTED_VALUE"""),"Bioinformatics and QC metrics")</f>
        <v>Bioinformatics and QC metrics</v>
      </c>
      <c r="B167" s="29" t="str">
        <f>IFERROR(__xludf.DUMMYFUNCTION("""COMPUTED_VALUE"""),"raw sequence data processing method")</f>
        <v>raw sequence data processing method</v>
      </c>
      <c r="C167" s="29" t="b">
        <f>IFERROR(__xludf.DUMMYFUNCTION("""COMPUTED_VALUE"""),TRUE)</f>
        <v>1</v>
      </c>
      <c r="D167" s="29" t="str">
        <f>IFERROR(__xludf.DUMMYFUNCTION("""COMPUTED_VALUE"""),"")</f>
        <v/>
      </c>
      <c r="E167" s="29" t="str">
        <f>IFERROR(__xludf.DUMMYFUNCTION("""COMPUTED_VALUE"""),"GENEPIO:0001458")</f>
        <v>GENEPIO:0001458</v>
      </c>
      <c r="F167"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7" s="29" t="str">
        <f>IFERROR(__xludf.DUMMYFUNCTION("""COMPUTED_VALUE"""),"Provide the software name followed by the version e.g. Trimmomatic v. 0.38, Porechop v. 0.2.3")</f>
        <v>Provide the software name followed by the version e.g. Trimmomatic v. 0.38, Porechop v. 0.2.3</v>
      </c>
      <c r="H167" s="29" t="str">
        <f>IFERROR(__xludf.DUMMYFUNCTION("""COMPUTED_VALUE"""),"Porechop 0.2.3")</f>
        <v>Porechop 0.2.3</v>
      </c>
      <c r="I167" s="29"/>
      <c r="J167" s="29"/>
      <c r="K167" s="30" t="s">
        <v>19</v>
      </c>
      <c r="L167" s="30" t="s">
        <v>19</v>
      </c>
      <c r="M167" s="30" t="s">
        <v>19</v>
      </c>
      <c r="N167" s="31" t="str">
        <f>IFERROR(__xludf.DUMMYFUNCTION("""COMPUTED_VALUE"""),"Mpox")</f>
        <v>Mpox</v>
      </c>
      <c r="O167" s="29"/>
      <c r="P167" s="29"/>
      <c r="Q167" s="29"/>
      <c r="R167" s="29"/>
      <c r="S167" s="29"/>
      <c r="T167" s="29"/>
      <c r="U167" s="29"/>
      <c r="V167" s="29"/>
      <c r="W167" s="29"/>
      <c r="X167" s="29"/>
      <c r="Y167" s="29"/>
      <c r="Z167" s="29"/>
      <c r="AA167" s="29"/>
      <c r="AB167" s="29"/>
    </row>
    <row r="168">
      <c r="A168" s="29" t="str">
        <f>IFERROR(__xludf.DUMMYFUNCTION("""COMPUTED_VALUE"""),"Bioinformatics and QC metrics")</f>
        <v>Bioinformatics and QC metrics</v>
      </c>
      <c r="B168" s="29" t="str">
        <f>IFERROR(__xludf.DUMMYFUNCTION("""COMPUTED_VALUE"""),"raw sequence data processing method")</f>
        <v>raw sequence data processing method</v>
      </c>
      <c r="C168" s="29"/>
      <c r="D168" s="29" t="str">
        <f>IFERROR(__xludf.DUMMYFUNCTION("""COMPUTED_VALUE"""),"")</f>
        <v/>
      </c>
      <c r="E168" s="29" t="str">
        <f>IFERROR(__xludf.DUMMYFUNCTION("""COMPUTED_VALUE"""),"GENEPIO:0001458")</f>
        <v>GENEPIO:0001458</v>
      </c>
      <c r="F168"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8" s="29" t="str">
        <f>IFERROR(__xludf.DUMMYFUNCTION("""COMPUTED_VALUE"""),"Provide the software name followed by the version e.g. Trimmomatic v. 0.38, Porechop v. 0.2.3")</f>
        <v>Provide the software name followed by the version e.g. Trimmomatic v. 0.38, Porechop v. 0.2.3</v>
      </c>
      <c r="H168" s="29" t="str">
        <f>IFERROR(__xludf.DUMMYFUNCTION("""COMPUTED_VALUE"""),"Porechop 0.2.3")</f>
        <v>Porechop 0.2.3</v>
      </c>
      <c r="I168" s="29"/>
      <c r="J168" s="29"/>
      <c r="K168" s="30" t="s">
        <v>19</v>
      </c>
      <c r="L168" s="30" t="s">
        <v>19</v>
      </c>
      <c r="M168" s="30" t="s">
        <v>19</v>
      </c>
      <c r="N168" s="31" t="str">
        <f>IFERROR(__xludf.DUMMYFUNCTION("""COMPUTED_VALUE"""),"MpoxInternational")</f>
        <v>MpoxInternational</v>
      </c>
      <c r="O168" s="29"/>
      <c r="P168" s="29"/>
      <c r="Q168" s="29"/>
      <c r="R168" s="29"/>
      <c r="S168" s="29"/>
      <c r="T168" s="29"/>
      <c r="U168" s="29"/>
      <c r="V168" s="29"/>
      <c r="W168" s="29"/>
      <c r="X168" s="29"/>
      <c r="Y168" s="29"/>
      <c r="Z168" s="29"/>
      <c r="AA168" s="29"/>
      <c r="AB168" s="29"/>
    </row>
    <row r="169">
      <c r="A169" s="29" t="str">
        <f>IFERROR(__xludf.DUMMYFUNCTION("""COMPUTED_VALUE"""),"Bioinformatics and QC metrics")</f>
        <v>Bioinformatics and QC metrics</v>
      </c>
      <c r="B169" s="29" t="str">
        <f>IFERROR(__xludf.DUMMYFUNCTION("""COMPUTED_VALUE"""),"dehosting method")</f>
        <v>dehosting method</v>
      </c>
      <c r="C169" s="29" t="b">
        <f>IFERROR(__xludf.DUMMYFUNCTION("""COMPUTED_VALUE"""),TRUE)</f>
        <v>1</v>
      </c>
      <c r="D169" s="29" t="str">
        <f>IFERROR(__xludf.DUMMYFUNCTION("""COMPUTED_VALUE"""),"")</f>
        <v/>
      </c>
      <c r="E169" s="29" t="str">
        <f>IFERROR(__xludf.DUMMYFUNCTION("""COMPUTED_VALUE"""),"GENEPIO:0001459")</f>
        <v>GENEPIO:0001459</v>
      </c>
      <c r="F169" s="29" t="str">
        <f>IFERROR(__xludf.DUMMYFUNCTION("""COMPUTED_VALUE"""),"The method used to remove host reads from the pathogen sequence.")</f>
        <v>The method used to remove host reads from the pathogen sequence.</v>
      </c>
      <c r="G169" s="29" t="str">
        <f>IFERROR(__xludf.DUMMYFUNCTION("""COMPUTED_VALUE"""),"Provide the name and version number of the software used to remove host reads.")</f>
        <v>Provide the name and version number of the software used to remove host reads.</v>
      </c>
      <c r="H169" s="29" t="str">
        <f>IFERROR(__xludf.DUMMYFUNCTION("""COMPUTED_VALUE"""),"Nanostripper")</f>
        <v>Nanostripper</v>
      </c>
      <c r="I169" s="29"/>
      <c r="J169" s="29"/>
      <c r="K169" s="30" t="s">
        <v>19</v>
      </c>
      <c r="L169" s="30" t="s">
        <v>19</v>
      </c>
      <c r="M169" s="30" t="s">
        <v>19</v>
      </c>
      <c r="N169" s="31" t="str">
        <f>IFERROR(__xludf.DUMMYFUNCTION("""COMPUTED_VALUE"""),"Mpox")</f>
        <v>Mpox</v>
      </c>
      <c r="O169" s="29"/>
      <c r="P169" s="29"/>
      <c r="Q169" s="29"/>
      <c r="R169" s="29"/>
      <c r="S169" s="29"/>
      <c r="T169" s="29"/>
      <c r="U169" s="29"/>
      <c r="V169" s="29"/>
      <c r="W169" s="29"/>
      <c r="X169" s="29"/>
      <c r="Y169" s="29"/>
      <c r="Z169" s="29"/>
      <c r="AA169" s="29"/>
      <c r="AB169" s="29"/>
    </row>
    <row r="170">
      <c r="A170" s="29" t="str">
        <f>IFERROR(__xludf.DUMMYFUNCTION("""COMPUTED_VALUE"""),"Bioinformatics and QC metrics")</f>
        <v>Bioinformatics and QC metrics</v>
      </c>
      <c r="B170" s="29" t="str">
        <f>IFERROR(__xludf.DUMMYFUNCTION("""COMPUTED_VALUE"""),"dehosting method")</f>
        <v>dehosting method</v>
      </c>
      <c r="C170" s="29"/>
      <c r="D170" s="29" t="str">
        <f>IFERROR(__xludf.DUMMYFUNCTION("""COMPUTED_VALUE"""),"")</f>
        <v/>
      </c>
      <c r="E170" s="29" t="str">
        <f>IFERROR(__xludf.DUMMYFUNCTION("""COMPUTED_VALUE"""),"GENEPIO:0001459")</f>
        <v>GENEPIO:0001459</v>
      </c>
      <c r="F170" s="29" t="str">
        <f>IFERROR(__xludf.DUMMYFUNCTION("""COMPUTED_VALUE"""),"The method used to remove host reads from the pathogen sequence.")</f>
        <v>The method used to remove host reads from the pathogen sequence.</v>
      </c>
      <c r="G170" s="29" t="str">
        <f>IFERROR(__xludf.DUMMYFUNCTION("""COMPUTED_VALUE"""),"Provide the name and version number of the software used to remove host reads.")</f>
        <v>Provide the name and version number of the software used to remove host reads.</v>
      </c>
      <c r="H170" s="29" t="str">
        <f>IFERROR(__xludf.DUMMYFUNCTION("""COMPUTED_VALUE"""),"Nanostripper")</f>
        <v>Nanostripper</v>
      </c>
      <c r="I170" s="29"/>
      <c r="J170" s="29"/>
      <c r="K170" s="30" t="s">
        <v>19</v>
      </c>
      <c r="L170" s="30" t="s">
        <v>19</v>
      </c>
      <c r="M170" s="30" t="s">
        <v>19</v>
      </c>
      <c r="N170" s="31" t="str">
        <f>IFERROR(__xludf.DUMMYFUNCTION("""COMPUTED_VALUE"""),"MpoxInternational")</f>
        <v>MpoxInternational</v>
      </c>
      <c r="O170" s="29"/>
      <c r="P170" s="29"/>
      <c r="Q170" s="29"/>
      <c r="R170" s="29"/>
      <c r="S170" s="29"/>
      <c r="T170" s="29"/>
      <c r="U170" s="29"/>
      <c r="V170" s="29"/>
      <c r="W170" s="29"/>
      <c r="X170" s="29"/>
      <c r="Y170" s="29"/>
      <c r="Z170" s="29"/>
      <c r="AA170" s="29"/>
      <c r="AB170" s="29"/>
    </row>
    <row r="171">
      <c r="A171" s="29" t="str">
        <f>IFERROR(__xludf.DUMMYFUNCTION("""COMPUTED_VALUE"""),"Bioinformatics and QC metrics")</f>
        <v>Bioinformatics and QC metrics</v>
      </c>
      <c r="B171" s="29" t="str">
        <f>IFERROR(__xludf.DUMMYFUNCTION("""COMPUTED_VALUE"""),"deduplication method")</f>
        <v>deduplication method</v>
      </c>
      <c r="C171" s="29"/>
      <c r="D171" s="29"/>
      <c r="E171" s="33" t="str">
        <f>IFERROR(__xludf.DUMMYFUNCTION("""COMPUTED_VALUE"""),"GENEPIO:0100831")</f>
        <v>GENEPIO:0100831</v>
      </c>
      <c r="F171" s="29" t="str">
        <f>IFERROR(__xludf.DUMMYFUNCTION("""COMPUTED_VALUE"""),"The method used to remove duplicated reads in a sequence read dataset.")</f>
        <v>The method used to remove duplicated reads in a sequence read dataset.</v>
      </c>
      <c r="G171" s="29" t="str">
        <f>IFERROR(__xludf.DUMMYFUNCTION("""COMPUTED_VALUE"""),"Provide the deduplication software name followed by the version, or a link to a tool or method.")</f>
        <v>Provide the deduplication software name followed by the version, or a link to a tool or method.</v>
      </c>
      <c r="H171" s="29" t="str">
        <f>IFERROR(__xludf.DUMMYFUNCTION("""COMPUTED_VALUE"""),"DeDup 0.12.8")</f>
        <v>DeDup 0.12.8</v>
      </c>
      <c r="I171" s="29"/>
      <c r="J171" s="29"/>
      <c r="K171" s="30" t="s">
        <v>19</v>
      </c>
      <c r="L171" s="30" t="s">
        <v>19</v>
      </c>
      <c r="M171" s="30" t="s">
        <v>19</v>
      </c>
      <c r="N171" s="31" t="str">
        <f>IFERROR(__xludf.DUMMYFUNCTION("""COMPUTED_VALUE"""),"MpoxInternational")</f>
        <v>MpoxInternational</v>
      </c>
      <c r="O171" s="29"/>
      <c r="P171" s="29"/>
      <c r="Q171" s="29"/>
      <c r="R171" s="29"/>
      <c r="S171" s="29"/>
      <c r="T171" s="29"/>
      <c r="U171" s="29"/>
      <c r="V171" s="29"/>
      <c r="W171" s="29"/>
      <c r="X171" s="29"/>
      <c r="Y171" s="29"/>
      <c r="Z171" s="29"/>
      <c r="AA171" s="29"/>
      <c r="AB171" s="29"/>
    </row>
    <row r="172">
      <c r="A172" s="29" t="str">
        <f>IFERROR(__xludf.DUMMYFUNCTION("""COMPUTED_VALUE"""),"Bioinformatics and QC metrics")</f>
        <v>Bioinformatics and QC metrics</v>
      </c>
      <c r="B172" s="29" t="str">
        <f>IFERROR(__xludf.DUMMYFUNCTION("""COMPUTED_VALUE"""),"consensus sequence name")</f>
        <v>consensus sequence name</v>
      </c>
      <c r="C172" s="29"/>
      <c r="D172" s="29"/>
      <c r="E172" s="29" t="str">
        <f>IFERROR(__xludf.DUMMYFUNCTION("""COMPUTED_VALUE"""),"GENEPIO:0001460")</f>
        <v>GENEPIO:0001460</v>
      </c>
      <c r="F172" s="29" t="str">
        <f>IFERROR(__xludf.DUMMYFUNCTION("""COMPUTED_VALUE"""),"The name of the consensus sequence.")</f>
        <v>The name of the consensus sequence.</v>
      </c>
      <c r="G172" s="29" t="str">
        <f>IFERROR(__xludf.DUMMYFUNCTION("""COMPUTED_VALUE"""),"Provide the name and version number of the consensus sequence.")</f>
        <v>Provide the name and version number of the consensus sequence.</v>
      </c>
      <c r="H172" s="29" t="str">
        <f>IFERROR(__xludf.DUMMYFUNCTION("""COMPUTED_VALUE"""),"mpxvassembly3")</f>
        <v>mpxvassembly3</v>
      </c>
      <c r="I172" s="29"/>
      <c r="J172" s="29"/>
      <c r="K172" s="30" t="s">
        <v>19</v>
      </c>
      <c r="L172" s="30" t="s">
        <v>19</v>
      </c>
      <c r="M172" s="30" t="s">
        <v>19</v>
      </c>
      <c r="N172" s="31" t="str">
        <f>IFERROR(__xludf.DUMMYFUNCTION("""COMPUTED_VALUE"""),"Mpox")</f>
        <v>Mpox</v>
      </c>
      <c r="O172" s="29"/>
      <c r="P172" s="29"/>
      <c r="Q172" s="29"/>
      <c r="R172" s="29"/>
      <c r="S172" s="29"/>
      <c r="T172" s="29"/>
      <c r="U172" s="29"/>
      <c r="V172" s="29"/>
      <c r="W172" s="29"/>
      <c r="X172" s="29"/>
      <c r="Y172" s="29"/>
      <c r="Z172" s="29"/>
      <c r="AA172" s="29"/>
      <c r="AB172" s="29"/>
    </row>
    <row r="173">
      <c r="A173" s="29" t="str">
        <f>IFERROR(__xludf.DUMMYFUNCTION("""COMPUTED_VALUE"""),"Bioinformatics and QC metrics")</f>
        <v>Bioinformatics and QC metrics</v>
      </c>
      <c r="B173" s="29" t="str">
        <f>IFERROR(__xludf.DUMMYFUNCTION("""COMPUTED_VALUE"""),"consensus sequence filename")</f>
        <v>consensus sequence filename</v>
      </c>
      <c r="C173" s="29" t="str">
        <f>IFERROR(__xludf.DUMMYFUNCTION("""COMPUTED_VALUE"""),"")</f>
        <v/>
      </c>
      <c r="D173" s="29" t="str">
        <f>IFERROR(__xludf.DUMMYFUNCTION("""COMPUTED_VALUE"""),"")</f>
        <v/>
      </c>
      <c r="E173" s="29" t="str">
        <f>IFERROR(__xludf.DUMMYFUNCTION("""COMPUTED_VALUE"""),"GENEPIO:0001461")</f>
        <v>GENEPIO:0001461</v>
      </c>
      <c r="F173" s="29" t="str">
        <f>IFERROR(__xludf.DUMMYFUNCTION("""COMPUTED_VALUE"""),"The name of the consensus sequence file.")</f>
        <v>The name of the consensus sequence file.</v>
      </c>
      <c r="G173" s="29" t="str">
        <f>IFERROR(__xludf.DUMMYFUNCTION("""COMPUTED_VALUE"""),"Provide the name and version number of the consensus sequence FASTA file.")</f>
        <v>Provide the name and version number of the consensus sequence FASTA file.</v>
      </c>
      <c r="H173" s="29" t="str">
        <f>IFERROR(__xludf.DUMMYFUNCTION("""COMPUTED_VALUE"""),"mpox123assembly.fasta")</f>
        <v>mpox123assembly.fasta</v>
      </c>
      <c r="I173" s="29"/>
      <c r="J173" s="29"/>
      <c r="K173" s="30" t="s">
        <v>19</v>
      </c>
      <c r="L173" s="30" t="s">
        <v>19</v>
      </c>
      <c r="M173" s="30" t="s">
        <v>19</v>
      </c>
      <c r="N173" s="31" t="str">
        <f>IFERROR(__xludf.DUMMYFUNCTION("""COMPUTED_VALUE"""),"Mpox")</f>
        <v>Mpox</v>
      </c>
      <c r="O173" s="29"/>
      <c r="P173" s="29"/>
      <c r="Q173" s="29"/>
      <c r="R173" s="29"/>
      <c r="S173" s="29"/>
      <c r="T173" s="29"/>
      <c r="U173" s="29"/>
      <c r="V173" s="29"/>
      <c r="W173" s="29"/>
      <c r="X173" s="29"/>
      <c r="Y173" s="29"/>
      <c r="Z173" s="29"/>
      <c r="AA173" s="29"/>
      <c r="AB173" s="29"/>
    </row>
    <row r="174">
      <c r="A174" s="29" t="str">
        <f>IFERROR(__xludf.DUMMYFUNCTION("""COMPUTED_VALUE"""),"Bioinformatics and QC metrics")</f>
        <v>Bioinformatics and QC metrics</v>
      </c>
      <c r="B174" s="29" t="str">
        <f>IFERROR(__xludf.DUMMYFUNCTION("""COMPUTED_VALUE"""),"consensus sequence filepath")</f>
        <v>consensus sequence filepath</v>
      </c>
      <c r="C174" s="29" t="str">
        <f>IFERROR(__xludf.DUMMYFUNCTION("""COMPUTED_VALUE"""),"")</f>
        <v/>
      </c>
      <c r="D174" s="29" t="str">
        <f>IFERROR(__xludf.DUMMYFUNCTION("""COMPUTED_VALUE"""),"")</f>
        <v/>
      </c>
      <c r="E174" s="29" t="str">
        <f>IFERROR(__xludf.DUMMYFUNCTION("""COMPUTED_VALUE"""),"GENEPIO:0001462")</f>
        <v>GENEPIO:0001462</v>
      </c>
      <c r="F174" s="29" t="str">
        <f>IFERROR(__xludf.DUMMYFUNCTION("""COMPUTED_VALUE"""),"The filepath of the consensus sequence file.")</f>
        <v>The filepath of the consensus sequence file.</v>
      </c>
      <c r="G174" s="29" t="str">
        <f>IFERROR(__xludf.DUMMYFUNCTION("""COMPUTED_VALUE"""),"Provide the filepath of the consensus sequence FASTA file.")</f>
        <v>Provide the filepath of the consensus sequence FASTA file.</v>
      </c>
      <c r="H174" s="29" t="str">
        <f>IFERROR(__xludf.DUMMYFUNCTION("""COMPUTED_VALUE"""),"/User/Documents/STILab/Data/mpox123assembly.fasta")</f>
        <v>/User/Documents/STILab/Data/mpox123assembly.fasta</v>
      </c>
      <c r="I174" s="29"/>
      <c r="J174" s="29"/>
      <c r="K174" s="30" t="s">
        <v>19</v>
      </c>
      <c r="L174" s="30" t="s">
        <v>19</v>
      </c>
      <c r="M174" s="30" t="s">
        <v>19</v>
      </c>
      <c r="N174" s="31" t="str">
        <f>IFERROR(__xludf.DUMMYFUNCTION("""COMPUTED_VALUE"""),"Mpox")</f>
        <v>Mpox</v>
      </c>
      <c r="O174" s="29"/>
      <c r="P174" s="29"/>
      <c r="Q174" s="29"/>
      <c r="R174" s="29"/>
      <c r="S174" s="29"/>
      <c r="T174" s="29"/>
      <c r="U174" s="29"/>
      <c r="V174" s="29"/>
      <c r="W174" s="29"/>
      <c r="X174" s="29"/>
      <c r="Y174" s="29"/>
      <c r="Z174" s="29"/>
      <c r="AA174" s="29"/>
      <c r="AB174" s="29"/>
    </row>
    <row r="175">
      <c r="A175" s="29" t="str">
        <f>IFERROR(__xludf.DUMMYFUNCTION("""COMPUTED_VALUE"""),"Bioinformatics and QC metrics")</f>
        <v>Bioinformatics and QC metrics</v>
      </c>
      <c r="B175" s="29" t="str">
        <f>IFERROR(__xludf.DUMMYFUNCTION("""COMPUTED_VALUE"""),"genome sequence file name")</f>
        <v>genome sequence file name</v>
      </c>
      <c r="C175" s="29"/>
      <c r="D175" s="29"/>
      <c r="E175" s="33" t="str">
        <f>IFERROR(__xludf.DUMMYFUNCTION("""COMPUTED_VALUE"""),"GENEPIO:0101715")</f>
        <v>GENEPIO:0101715</v>
      </c>
      <c r="F175" s="29" t="str">
        <f>IFERROR(__xludf.DUMMYFUNCTION("""COMPUTED_VALUE"""),"The name of the consensus sequence file.")</f>
        <v>The name of the consensus sequence file.</v>
      </c>
      <c r="G175"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5" s="29" t="str">
        <f>IFERROR(__xludf.DUMMYFUNCTION("""COMPUTED_VALUE"""),"mpxvassembly.fasta")</f>
        <v>mpxvassembly.fasta</v>
      </c>
      <c r="I175" s="29"/>
      <c r="J175" s="29"/>
      <c r="K175" s="30" t="s">
        <v>20</v>
      </c>
      <c r="L175" s="30" t="s">
        <v>20</v>
      </c>
      <c r="M175" s="30" t="s">
        <v>20</v>
      </c>
      <c r="N175" s="31" t="str">
        <f>IFERROR(__xludf.DUMMYFUNCTION("""COMPUTED_VALUE"""),"MpoxInternational")</f>
        <v>MpoxInternational</v>
      </c>
      <c r="O175" s="29"/>
      <c r="P175" s="29"/>
      <c r="Q175" s="29"/>
      <c r="R175" s="29"/>
      <c r="S175" s="29"/>
      <c r="T175" s="29"/>
      <c r="U175" s="29"/>
      <c r="V175" s="29"/>
      <c r="W175" s="29"/>
      <c r="X175" s="29"/>
      <c r="Y175" s="29"/>
      <c r="Z175" s="29"/>
      <c r="AA175" s="29"/>
      <c r="AB175" s="29"/>
    </row>
    <row r="176">
      <c r="A176" s="29" t="str">
        <f>IFERROR(__xludf.DUMMYFUNCTION("""COMPUTED_VALUE"""),"Bioinformatics and QC metrics")</f>
        <v>Bioinformatics and QC metrics</v>
      </c>
      <c r="B176" s="29" t="str">
        <f>IFERROR(__xludf.DUMMYFUNCTION("""COMPUTED_VALUE"""),"genome sequence file path")</f>
        <v>genome sequence file path</v>
      </c>
      <c r="C176" s="29"/>
      <c r="D176" s="29"/>
      <c r="E176" s="33" t="str">
        <f>IFERROR(__xludf.DUMMYFUNCTION("""COMPUTED_VALUE"""),"GENEPIO:0101716")</f>
        <v>GENEPIO:0101716</v>
      </c>
      <c r="F176" s="29" t="str">
        <f>IFERROR(__xludf.DUMMYFUNCTION("""COMPUTED_VALUE"""),"The filepath of the consensus sequence file.")</f>
        <v>The filepath of the consensus sequence file.</v>
      </c>
      <c r="G176" s="29" t="str">
        <f>IFERROR(__xludf.DUMMYFUNCTION("""COMPUTED_VALUE"""),"Provide the filepath of the genome sequence FASTA file.")</f>
        <v>Provide the filepath of the genome sequence FASTA file.</v>
      </c>
      <c r="H176" s="29" t="str">
        <f>IFERROR(__xludf.DUMMYFUNCTION("""COMPUTED_VALUE"""),"/User/Documents/ViralLab/Data/mpxvassembly.fasta")</f>
        <v>/User/Documents/ViralLab/Data/mpxvassembly.fasta</v>
      </c>
      <c r="I176" s="29"/>
      <c r="J176" s="29"/>
      <c r="K176" s="30" t="s">
        <v>20</v>
      </c>
      <c r="L176" s="30" t="s">
        <v>20</v>
      </c>
      <c r="M176" s="30" t="s">
        <v>20</v>
      </c>
      <c r="N176" s="31" t="str">
        <f>IFERROR(__xludf.DUMMYFUNCTION("""COMPUTED_VALUE"""),"MpoxInternational")</f>
        <v>MpoxInternational</v>
      </c>
      <c r="O176" s="29"/>
      <c r="P176" s="29"/>
      <c r="Q176" s="29"/>
      <c r="R176" s="29"/>
      <c r="S176" s="29"/>
      <c r="T176" s="29"/>
      <c r="U176" s="29"/>
      <c r="V176" s="29"/>
      <c r="W176" s="29"/>
      <c r="X176" s="29"/>
      <c r="Y176" s="29"/>
      <c r="Z176" s="29"/>
      <c r="AA176" s="29"/>
      <c r="AB176" s="29"/>
    </row>
    <row r="177">
      <c r="A177" s="29" t="str">
        <f>IFERROR(__xludf.DUMMYFUNCTION("""COMPUTED_VALUE"""),"Bioinformatics and QC metrics")</f>
        <v>Bioinformatics and QC metrics</v>
      </c>
      <c r="B177" s="29" t="str">
        <f>IFERROR(__xludf.DUMMYFUNCTION("""COMPUTED_VALUE"""),"consensus sequence software name")</f>
        <v>consensus sequence software name</v>
      </c>
      <c r="C177" s="29" t="b">
        <f>IFERROR(__xludf.DUMMYFUNCTION("""COMPUTED_VALUE"""),TRUE)</f>
        <v>1</v>
      </c>
      <c r="D177" s="29" t="str">
        <f>IFERROR(__xludf.DUMMYFUNCTION("""COMPUTED_VALUE"""),"")</f>
        <v/>
      </c>
      <c r="E177" s="29" t="str">
        <f>IFERROR(__xludf.DUMMYFUNCTION("""COMPUTED_VALUE"""),"GENEPIO:0001463")</f>
        <v>GENEPIO:0001463</v>
      </c>
      <c r="F177" s="29" t="str">
        <f>IFERROR(__xludf.DUMMYFUNCTION("""COMPUTED_VALUE"""),"The name of software used to generate the consensus sequence.")</f>
        <v>The name of software used to generate the consensus sequence.</v>
      </c>
      <c r="G177" s="29" t="str">
        <f>IFERROR(__xludf.DUMMYFUNCTION("""COMPUTED_VALUE"""),"Provide the name of the software used to generate the consensus sequence.")</f>
        <v>Provide the name of the software used to generate the consensus sequence.</v>
      </c>
      <c r="H177" s="29" t="str">
        <f>IFERROR(__xludf.DUMMYFUNCTION("""COMPUTED_VALUE"""),"iVar")</f>
        <v>iVar</v>
      </c>
      <c r="I177" s="29"/>
      <c r="J177" s="29"/>
      <c r="K177" s="30" t="s">
        <v>19</v>
      </c>
      <c r="L177" s="30" t="s">
        <v>19</v>
      </c>
      <c r="M177" s="30" t="s">
        <v>19</v>
      </c>
      <c r="N177" s="31" t="str">
        <f>IFERROR(__xludf.DUMMYFUNCTION("""COMPUTED_VALUE"""),"Mpox;MpoxInternational")</f>
        <v>Mpox;MpoxInternational</v>
      </c>
      <c r="O177" s="29"/>
      <c r="P177" s="29"/>
      <c r="Q177" s="29"/>
      <c r="R177" s="29"/>
      <c r="S177" s="29"/>
      <c r="T177" s="29"/>
      <c r="U177" s="29"/>
      <c r="V177" s="29"/>
      <c r="W177" s="29"/>
      <c r="X177" s="29"/>
      <c r="Y177" s="29"/>
      <c r="Z177" s="29"/>
      <c r="AA177" s="29"/>
      <c r="AB177" s="29"/>
    </row>
    <row r="178">
      <c r="A178" s="29" t="str">
        <f>IFERROR(__xludf.DUMMYFUNCTION("""COMPUTED_VALUE"""),"Bioinformatics and QC metrics")</f>
        <v>Bioinformatics and QC metrics</v>
      </c>
      <c r="B178" s="29" t="str">
        <f>IFERROR(__xludf.DUMMYFUNCTION("""COMPUTED_VALUE"""),"consensus sequence software version")</f>
        <v>consensus sequence software version</v>
      </c>
      <c r="C178" s="29" t="b">
        <f>IFERROR(__xludf.DUMMYFUNCTION("""COMPUTED_VALUE"""),TRUE)</f>
        <v>1</v>
      </c>
      <c r="D178" s="29" t="str">
        <f>IFERROR(__xludf.DUMMYFUNCTION("""COMPUTED_VALUE"""),"")</f>
        <v/>
      </c>
      <c r="E178" s="29" t="str">
        <f>IFERROR(__xludf.DUMMYFUNCTION("""COMPUTED_VALUE"""),"GENEPIO:0001469")</f>
        <v>GENEPIO:0001469</v>
      </c>
      <c r="F178" s="29" t="str">
        <f>IFERROR(__xludf.DUMMYFUNCTION("""COMPUTED_VALUE"""),"The version of the software used to generate the consensus sequence.")</f>
        <v>The version of the software used to generate the consensus sequence.</v>
      </c>
      <c r="G178" s="29" t="str">
        <f>IFERROR(__xludf.DUMMYFUNCTION("""COMPUTED_VALUE"""),"Provide the version of the software used to generate the consensus sequence.")</f>
        <v>Provide the version of the software used to generate the consensus sequence.</v>
      </c>
      <c r="H178" s="29">
        <f>IFERROR(__xludf.DUMMYFUNCTION("""COMPUTED_VALUE"""),1.3)</f>
        <v>1.3</v>
      </c>
      <c r="I178" s="29"/>
      <c r="J178" s="29"/>
      <c r="K178" s="30" t="s">
        <v>19</v>
      </c>
      <c r="L178" s="30" t="s">
        <v>19</v>
      </c>
      <c r="M178" s="30" t="s">
        <v>19</v>
      </c>
      <c r="N178" s="31" t="str">
        <f>IFERROR(__xludf.DUMMYFUNCTION("""COMPUTED_VALUE"""),"Mpox;MpoxInternational")</f>
        <v>Mpox;MpoxInternational</v>
      </c>
      <c r="O178" s="29"/>
      <c r="P178" s="29"/>
      <c r="Q178" s="29"/>
      <c r="R178" s="29"/>
      <c r="S178" s="29"/>
      <c r="T178" s="29"/>
      <c r="U178" s="29"/>
      <c r="V178" s="29"/>
      <c r="W178" s="29"/>
      <c r="X178" s="29"/>
      <c r="Y178" s="29"/>
      <c r="Z178" s="29"/>
      <c r="AA178" s="29"/>
      <c r="AB178" s="29"/>
    </row>
    <row r="179">
      <c r="A179" s="29" t="str">
        <f>IFERROR(__xludf.DUMMYFUNCTION("""COMPUTED_VALUE"""),"Bioinformatics and QC metrics")</f>
        <v>Bioinformatics and QC metrics</v>
      </c>
      <c r="B179" s="29" t="str">
        <f>IFERROR(__xludf.DUMMYFUNCTION("""COMPUTED_VALUE"""),"sequence assembly software name")</f>
        <v>sequence assembly software name</v>
      </c>
      <c r="C179" s="29" t="b">
        <f>IFERROR(__xludf.DUMMYFUNCTION("""COMPUTED_VALUE"""),TRUE)</f>
        <v>1</v>
      </c>
      <c r="D179" s="29"/>
      <c r="E179" s="33" t="str">
        <f>IFERROR(__xludf.DUMMYFUNCTION("""COMPUTED_VALUE"""),"GENEPIO:0100825")</f>
        <v>GENEPIO:0100825</v>
      </c>
      <c r="F179" s="29" t="str">
        <f>IFERROR(__xludf.DUMMYFUNCTION("""COMPUTED_VALUE"""),"The name of the software used to assemble a sequence.")</f>
        <v>The name of the software used to assemble a sequence.</v>
      </c>
      <c r="G179" s="29" t="str">
        <f>IFERROR(__xludf.DUMMYFUNCTION("""COMPUTED_VALUE"""),"Provide the name of the software used to assemble the sequence.")</f>
        <v>Provide the name of the software used to assemble the sequence.</v>
      </c>
      <c r="H179" s="41" t="str">
        <f>IFERROR(__xludf.DUMMYFUNCTION("""COMPUTED_VALUE"""),"SPAdes Genome Assembler, Canu, wtdbg2, velvet")</f>
        <v>SPAdes Genome Assembler, Canu, wtdbg2, velvet</v>
      </c>
      <c r="I179" s="29"/>
      <c r="J179" s="29"/>
      <c r="K179" s="30" t="s">
        <v>19</v>
      </c>
      <c r="L179" s="30" t="s">
        <v>19</v>
      </c>
      <c r="M179" s="30" t="s">
        <v>19</v>
      </c>
      <c r="N179" s="31" t="str">
        <f>IFERROR(__xludf.DUMMYFUNCTION("""COMPUTED_VALUE"""),"MpoxInternational")</f>
        <v>MpoxInternational</v>
      </c>
      <c r="O179" s="29"/>
      <c r="P179" s="29"/>
      <c r="Q179" s="29"/>
      <c r="R179" s="29"/>
      <c r="S179" s="29"/>
      <c r="T179" s="29"/>
      <c r="U179" s="29"/>
      <c r="V179" s="29"/>
      <c r="W179" s="29"/>
      <c r="X179" s="29"/>
      <c r="Y179" s="29"/>
      <c r="Z179" s="29"/>
      <c r="AA179" s="29"/>
      <c r="AB179" s="29"/>
    </row>
    <row r="180">
      <c r="A180" s="29" t="str">
        <f>IFERROR(__xludf.DUMMYFUNCTION("""COMPUTED_VALUE"""),"Bioinformatics and QC metrics")</f>
        <v>Bioinformatics and QC metrics</v>
      </c>
      <c r="B180" s="29" t="str">
        <f>IFERROR(__xludf.DUMMYFUNCTION("""COMPUTED_VALUE"""),"sequence assembly software version")</f>
        <v>sequence assembly software version</v>
      </c>
      <c r="C180" s="29" t="b">
        <f>IFERROR(__xludf.DUMMYFUNCTION("""COMPUTED_VALUE"""),TRUE)</f>
        <v>1</v>
      </c>
      <c r="D180" s="29"/>
      <c r="E180" s="33" t="str">
        <f>IFERROR(__xludf.DUMMYFUNCTION("""COMPUTED_VALUE"""),"GENEPIO:0100826")</f>
        <v>GENEPIO:0100826</v>
      </c>
      <c r="F180" s="29" t="str">
        <f>IFERROR(__xludf.DUMMYFUNCTION("""COMPUTED_VALUE"""),"The version of the software used to assemble a sequence.")</f>
        <v>The version of the software used to assemble a sequence.</v>
      </c>
      <c r="G180" s="29" t="str">
        <f>IFERROR(__xludf.DUMMYFUNCTION("""COMPUTED_VALUE"""),"Provide the version of the software used to assemble the sequence.")</f>
        <v>Provide the version of the software used to assemble the sequence.</v>
      </c>
      <c r="H180" s="41" t="str">
        <f>IFERROR(__xludf.DUMMYFUNCTION("""COMPUTED_VALUE"""),"3.15.5")</f>
        <v>3.15.5</v>
      </c>
      <c r="I180" s="29"/>
      <c r="J180" s="29"/>
      <c r="K180" s="30" t="s">
        <v>19</v>
      </c>
      <c r="L180" s="30" t="s">
        <v>19</v>
      </c>
      <c r="M180" s="30" t="s">
        <v>19</v>
      </c>
      <c r="N180" s="31" t="str">
        <f>IFERROR(__xludf.DUMMYFUNCTION("""COMPUTED_VALUE"""),"MpoxInternational")</f>
        <v>MpoxInternational</v>
      </c>
      <c r="O180" s="29"/>
      <c r="P180" s="29"/>
      <c r="Q180" s="29"/>
      <c r="R180" s="29"/>
      <c r="S180" s="29"/>
      <c r="T180" s="29"/>
      <c r="U180" s="29"/>
      <c r="V180" s="29"/>
      <c r="W180" s="29"/>
      <c r="X180" s="29"/>
      <c r="Y180" s="29"/>
      <c r="Z180" s="29"/>
      <c r="AA180" s="29"/>
      <c r="AB180" s="29"/>
    </row>
    <row r="181">
      <c r="A181" s="29" t="str">
        <f>IFERROR(__xludf.DUMMYFUNCTION("""COMPUTED_VALUE"""),"Bioinformatics and QC metrics")</f>
        <v>Bioinformatics and QC metrics</v>
      </c>
      <c r="B181" s="29" t="str">
        <f>IFERROR(__xludf.DUMMYFUNCTION("""COMPUTED_VALUE"""),"r1 fastq filename")</f>
        <v>r1 fastq filename</v>
      </c>
      <c r="C181" s="29"/>
      <c r="D181" s="29" t="b">
        <f>IFERROR(__xludf.DUMMYFUNCTION("""COMPUTED_VALUE"""),TRUE)</f>
        <v>1</v>
      </c>
      <c r="E181" s="29" t="str">
        <f>IFERROR(__xludf.DUMMYFUNCTION("""COMPUTED_VALUE"""),"GENEPIO:0001476")</f>
        <v>GENEPIO:0001476</v>
      </c>
      <c r="F181" s="29" t="str">
        <f>IFERROR(__xludf.DUMMYFUNCTION("""COMPUTED_VALUE"""),"The user-specified filename of the r1 FASTQ file.")</f>
        <v>The user-specified filename of the r1 FASTQ file.</v>
      </c>
      <c r="G181" s="29" t="str">
        <f>IFERROR(__xludf.DUMMYFUNCTION("""COMPUTED_VALUE"""),"Provide the r1 FASTQ filename. This information aids in data management. ")</f>
        <v>Provide the r1 FASTQ filename. This information aids in data management. </v>
      </c>
      <c r="H181" s="29" t="str">
        <f>IFERROR(__xludf.DUMMYFUNCTION("""COMPUTED_VALUE"""),"ABC123_S1_L001_R1_001.fastq.gz")</f>
        <v>ABC123_S1_L001_R1_001.fastq.gz</v>
      </c>
      <c r="I181" s="29"/>
      <c r="J181" s="29"/>
      <c r="K181" s="30" t="s">
        <v>19</v>
      </c>
      <c r="L181" s="30" t="s">
        <v>19</v>
      </c>
      <c r="M181" s="30" t="s">
        <v>19</v>
      </c>
      <c r="N181" s="31" t="str">
        <f>IFERROR(__xludf.DUMMYFUNCTION("""COMPUTED_VALUE"""),"Mpox;MpoxInternational")</f>
        <v>Mpox;MpoxInternational</v>
      </c>
      <c r="O181" s="29"/>
      <c r="P181" s="29"/>
      <c r="Q181" s="29"/>
      <c r="R181" s="29"/>
      <c r="S181" s="29"/>
      <c r="T181" s="29"/>
      <c r="U181" s="29"/>
      <c r="V181" s="29"/>
      <c r="W181" s="29"/>
      <c r="X181" s="29"/>
      <c r="Y181" s="29"/>
      <c r="Z181" s="29"/>
      <c r="AA181" s="29"/>
      <c r="AB181" s="29"/>
    </row>
    <row r="182">
      <c r="A182" s="29" t="str">
        <f>IFERROR(__xludf.DUMMYFUNCTION("""COMPUTED_VALUE"""),"Bioinformatics and QC metrics")</f>
        <v>Bioinformatics and QC metrics</v>
      </c>
      <c r="B182" s="29" t="str">
        <f>IFERROR(__xludf.DUMMYFUNCTION("""COMPUTED_VALUE"""),"r2 fastq filename")</f>
        <v>r2 fastq filename</v>
      </c>
      <c r="C182" s="29"/>
      <c r="D182" s="29" t="b">
        <f>IFERROR(__xludf.DUMMYFUNCTION("""COMPUTED_VALUE"""),TRUE)</f>
        <v>1</v>
      </c>
      <c r="E182" s="29" t="str">
        <f>IFERROR(__xludf.DUMMYFUNCTION("""COMPUTED_VALUE"""),"GENEPIO:0001477")</f>
        <v>GENEPIO:0001477</v>
      </c>
      <c r="F182" s="29" t="str">
        <f>IFERROR(__xludf.DUMMYFUNCTION("""COMPUTED_VALUE"""),"The user-specified filename of the r2 FASTQ file.")</f>
        <v>The user-specified filename of the r2 FASTQ file.</v>
      </c>
      <c r="G182" s="29" t="str">
        <f>IFERROR(__xludf.DUMMYFUNCTION("""COMPUTED_VALUE"""),"Provide the r2 FASTQ filename. This information aids in data management. ")</f>
        <v>Provide the r2 FASTQ filename. This information aids in data management. </v>
      </c>
      <c r="H182" s="29" t="str">
        <f>IFERROR(__xludf.DUMMYFUNCTION("""COMPUTED_VALUE"""),"ABC123_S1_L001_R2_001.fastq.gz")</f>
        <v>ABC123_S1_L001_R2_001.fastq.gz</v>
      </c>
      <c r="I182" s="29"/>
      <c r="J182" s="29"/>
      <c r="K182" s="30" t="s">
        <v>19</v>
      </c>
      <c r="L182" s="30" t="s">
        <v>19</v>
      </c>
      <c r="M182" s="30" t="s">
        <v>19</v>
      </c>
      <c r="N182" s="31" t="str">
        <f>IFERROR(__xludf.DUMMYFUNCTION("""COMPUTED_VALUE"""),"Mpox;MpoxInternational")</f>
        <v>Mpox;MpoxInternational</v>
      </c>
      <c r="O182" s="29"/>
      <c r="P182" s="29"/>
      <c r="Q182" s="29"/>
      <c r="R182" s="29"/>
      <c r="S182" s="29"/>
      <c r="T182" s="29"/>
      <c r="U182" s="29"/>
      <c r="V182" s="29"/>
      <c r="W182" s="29"/>
      <c r="X182" s="29"/>
      <c r="Y182" s="29"/>
      <c r="Z182" s="29"/>
      <c r="AA182" s="29"/>
      <c r="AB182" s="29"/>
    </row>
    <row r="183">
      <c r="A183" s="29" t="str">
        <f>IFERROR(__xludf.DUMMYFUNCTION("""COMPUTED_VALUE"""),"Bioinformatics and QC metrics")</f>
        <v>Bioinformatics and QC metrics</v>
      </c>
      <c r="B183" s="29" t="str">
        <f>IFERROR(__xludf.DUMMYFUNCTION("""COMPUTED_VALUE"""),"r1 fastq filepath")</f>
        <v>r1 fastq filepath</v>
      </c>
      <c r="C183" s="29"/>
      <c r="D183" s="29"/>
      <c r="E183" s="29" t="str">
        <f>IFERROR(__xludf.DUMMYFUNCTION("""COMPUTED_VALUE"""),"GENEPIO:0001478")</f>
        <v>GENEPIO:0001478</v>
      </c>
      <c r="F183" s="29" t="str">
        <f>IFERROR(__xludf.DUMMYFUNCTION("""COMPUTED_VALUE"""),"The location of the r1 FASTQ file within a user's file system.")</f>
        <v>The location of the r1 FASTQ file within a user's file system.</v>
      </c>
      <c r="G183" s="29" t="str">
        <f>IFERROR(__xludf.DUMMYFUNCTION("""COMPUTED_VALUE"""),"Provide the filepath for the r1 FASTQ file. This information aids in data management. ")</f>
        <v>Provide the filepath for the r1 FASTQ file. This information aids in data management. </v>
      </c>
      <c r="H183" s="29" t="str">
        <f>IFERROR(__xludf.DUMMYFUNCTION("""COMPUTED_VALUE"""),"/User/Documents/ViralLab/Data/ABC123_S1_L001_R1_001.fastq.gz")</f>
        <v>/User/Documents/ViralLab/Data/ABC123_S1_L001_R1_001.fastq.gz</v>
      </c>
      <c r="I183" s="29"/>
      <c r="J183" s="29"/>
      <c r="K183" s="30" t="s">
        <v>19</v>
      </c>
      <c r="L183" s="30" t="s">
        <v>19</v>
      </c>
      <c r="M183" s="30" t="s">
        <v>19</v>
      </c>
      <c r="N183" s="31" t="str">
        <f>IFERROR(__xludf.DUMMYFUNCTION("""COMPUTED_VALUE"""),"Mpox;MpoxInternational")</f>
        <v>Mpox;MpoxInternational</v>
      </c>
      <c r="O183" s="29"/>
      <c r="P183" s="29"/>
      <c r="Q183" s="29"/>
      <c r="R183" s="29"/>
      <c r="S183" s="29"/>
      <c r="T183" s="29"/>
      <c r="U183" s="29"/>
      <c r="V183" s="29"/>
      <c r="W183" s="29"/>
      <c r="X183" s="29"/>
      <c r="Y183" s="29"/>
      <c r="Z183" s="29"/>
      <c r="AA183" s="29"/>
      <c r="AB183" s="29"/>
    </row>
    <row r="184">
      <c r="A184" s="29" t="str">
        <f>IFERROR(__xludf.DUMMYFUNCTION("""COMPUTED_VALUE"""),"Bioinformatics and QC metrics")</f>
        <v>Bioinformatics and QC metrics</v>
      </c>
      <c r="B184" s="29" t="str">
        <f>IFERROR(__xludf.DUMMYFUNCTION("""COMPUTED_VALUE"""),"r2 fastq filepath")</f>
        <v>r2 fastq filepath</v>
      </c>
      <c r="C184" s="29"/>
      <c r="D184" s="29"/>
      <c r="E184" s="29" t="str">
        <f>IFERROR(__xludf.DUMMYFUNCTION("""COMPUTED_VALUE"""),"GENEPIO:0001479")</f>
        <v>GENEPIO:0001479</v>
      </c>
      <c r="F184" s="29" t="str">
        <f>IFERROR(__xludf.DUMMYFUNCTION("""COMPUTED_VALUE"""),"The location of the r2 FASTQ file within a user's file system.")</f>
        <v>The location of the r2 FASTQ file within a user's file system.</v>
      </c>
      <c r="G184" s="29" t="str">
        <f>IFERROR(__xludf.DUMMYFUNCTION("""COMPUTED_VALUE"""),"Provide the filepath for the r2 FASTQ file. This information aids in data management. ")</f>
        <v>Provide the filepath for the r2 FASTQ file. This information aids in data management. </v>
      </c>
      <c r="H184" s="29" t="str">
        <f>IFERROR(__xludf.DUMMYFUNCTION("""COMPUTED_VALUE"""),"/User/Documents/ViralLab/Data/ABC123_S1_L001_R2_001.fastq.gz")</f>
        <v>/User/Documents/ViralLab/Data/ABC123_S1_L001_R2_001.fastq.gz</v>
      </c>
      <c r="I184" s="29"/>
      <c r="J184" s="29"/>
      <c r="K184" s="30" t="s">
        <v>19</v>
      </c>
      <c r="L184" s="30" t="s">
        <v>19</v>
      </c>
      <c r="M184" s="30" t="s">
        <v>19</v>
      </c>
      <c r="N184" s="31" t="str">
        <f>IFERROR(__xludf.DUMMYFUNCTION("""COMPUTED_VALUE"""),"Mpox;MpoxInternational")</f>
        <v>Mpox;MpoxInternational</v>
      </c>
      <c r="O184" s="29"/>
      <c r="P184" s="29"/>
      <c r="Q184" s="29"/>
      <c r="R184" s="29"/>
      <c r="S184" s="29"/>
      <c r="T184" s="29"/>
      <c r="U184" s="29"/>
      <c r="V184" s="29"/>
      <c r="W184" s="29"/>
      <c r="X184" s="29"/>
      <c r="Y184" s="29"/>
      <c r="Z184" s="29"/>
      <c r="AA184" s="29"/>
      <c r="AB184" s="29"/>
    </row>
    <row r="185">
      <c r="A185" s="29" t="str">
        <f>IFERROR(__xludf.DUMMYFUNCTION("""COMPUTED_VALUE"""),"Bioinformatics and QC metrics")</f>
        <v>Bioinformatics and QC metrics</v>
      </c>
      <c r="B185" s="29" t="str">
        <f>IFERROR(__xludf.DUMMYFUNCTION("""COMPUTED_VALUE"""),"fast5 filename")</f>
        <v>fast5 filename</v>
      </c>
      <c r="C185" s="29"/>
      <c r="D185" s="29"/>
      <c r="E185" s="29" t="str">
        <f>IFERROR(__xludf.DUMMYFUNCTION("""COMPUTED_VALUE"""),"GENEPIO:0001480")</f>
        <v>GENEPIO:0001480</v>
      </c>
      <c r="F185" s="29" t="str">
        <f>IFERROR(__xludf.DUMMYFUNCTION("""COMPUTED_VALUE"""),"The user-specified filename of the FAST5 file.")</f>
        <v>The user-specified filename of the FAST5 file.</v>
      </c>
      <c r="G185" s="29" t="str">
        <f>IFERROR(__xludf.DUMMYFUNCTION("""COMPUTED_VALUE"""),"Provide the FAST5 filename. This information aids in data management. ")</f>
        <v>Provide the FAST5 filename. This information aids in data management. </v>
      </c>
      <c r="H185" s="29" t="str">
        <f>IFERROR(__xludf.DUMMYFUNCTION("""COMPUTED_VALUE"""),"mpxv123seq.fast5")</f>
        <v>mpxv123seq.fast5</v>
      </c>
      <c r="I185" s="29"/>
      <c r="J185" s="29"/>
      <c r="K185" s="30" t="s">
        <v>19</v>
      </c>
      <c r="L185" s="30" t="s">
        <v>19</v>
      </c>
      <c r="M185" s="30" t="s">
        <v>19</v>
      </c>
      <c r="N185" s="31" t="str">
        <f>IFERROR(__xludf.DUMMYFUNCTION("""COMPUTED_VALUE"""),"Mpox;MpoxInternational")</f>
        <v>Mpox;MpoxInternational</v>
      </c>
      <c r="O185" s="29"/>
      <c r="P185" s="29"/>
      <c r="Q185" s="29"/>
      <c r="R185" s="29"/>
      <c r="S185" s="29"/>
      <c r="T185" s="29"/>
      <c r="U185" s="29"/>
      <c r="V185" s="29"/>
      <c r="W185" s="29"/>
      <c r="X185" s="29"/>
      <c r="Y185" s="29"/>
      <c r="Z185" s="29"/>
      <c r="AA185" s="29"/>
      <c r="AB185" s="29"/>
    </row>
    <row r="186">
      <c r="A186" s="29" t="str">
        <f>IFERROR(__xludf.DUMMYFUNCTION("""COMPUTED_VALUE"""),"Bioinformatics and QC metrics")</f>
        <v>Bioinformatics and QC metrics</v>
      </c>
      <c r="B186" s="29" t="str">
        <f>IFERROR(__xludf.DUMMYFUNCTION("""COMPUTED_VALUE"""),"fast5 filepath")</f>
        <v>fast5 filepath</v>
      </c>
      <c r="C186" s="29"/>
      <c r="D186" s="29"/>
      <c r="E186" s="29" t="str">
        <f>IFERROR(__xludf.DUMMYFUNCTION("""COMPUTED_VALUE"""),"GENEPIO:0001481")</f>
        <v>GENEPIO:0001481</v>
      </c>
      <c r="F186" s="29" t="str">
        <f>IFERROR(__xludf.DUMMYFUNCTION("""COMPUTED_VALUE"""),"The location of the FAST5 file within a user's file system.")</f>
        <v>The location of the FAST5 file within a user's file system.</v>
      </c>
      <c r="G186" s="29" t="str">
        <f>IFERROR(__xludf.DUMMYFUNCTION("""COMPUTED_VALUE"""),"Provide the filepath for the FAST5 file. This information aids in data management. ")</f>
        <v>Provide the filepath for the FAST5 file. This information aids in data management. </v>
      </c>
      <c r="H186" s="29" t="str">
        <f>IFERROR(__xludf.DUMMYFUNCTION("""COMPUTED_VALUE"""),"/User/Documents/RespLab/Data/mpxv123seq.fast5")</f>
        <v>/User/Documents/RespLab/Data/mpxv123seq.fast5</v>
      </c>
      <c r="I186" s="29"/>
      <c r="J186" s="29"/>
      <c r="K186" s="30" t="s">
        <v>19</v>
      </c>
      <c r="L186" s="30" t="s">
        <v>19</v>
      </c>
      <c r="M186" s="30" t="s">
        <v>19</v>
      </c>
      <c r="N186" s="31" t="str">
        <f>IFERROR(__xludf.DUMMYFUNCTION("""COMPUTED_VALUE"""),"Mpox;MpoxInternational")</f>
        <v>Mpox;MpoxInternational</v>
      </c>
      <c r="O186" s="29"/>
      <c r="P186" s="29"/>
      <c r="Q186" s="29"/>
      <c r="R186" s="29"/>
      <c r="S186" s="29"/>
      <c r="T186" s="29"/>
      <c r="U186" s="29"/>
      <c r="V186" s="29"/>
      <c r="W186" s="29"/>
      <c r="X186" s="29"/>
      <c r="Y186" s="29"/>
      <c r="Z186" s="29"/>
      <c r="AA186" s="29"/>
      <c r="AB186" s="29"/>
    </row>
    <row r="187">
      <c r="A187" s="29" t="str">
        <f>IFERROR(__xludf.DUMMYFUNCTION("""COMPUTED_VALUE"""),"Bioinformatics and QC metrics")</f>
        <v>Bioinformatics and QC metrics</v>
      </c>
      <c r="B187" s="29" t="str">
        <f>IFERROR(__xludf.DUMMYFUNCTION("""COMPUTED_VALUE"""),"number of total reads")</f>
        <v>number of total reads</v>
      </c>
      <c r="C187" s="29"/>
      <c r="D187" s="29"/>
      <c r="E187" s="33" t="str">
        <f>IFERROR(__xludf.DUMMYFUNCTION("""COMPUTED_VALUE"""),"GENEPIO:0100827")</f>
        <v>GENEPIO:0100827</v>
      </c>
      <c r="F187" s="29" t="str">
        <f>IFERROR(__xludf.DUMMYFUNCTION("""COMPUTED_VALUE"""),"The total number of non-unique reads generated by the sequencing process.")</f>
        <v>The total number of non-unique reads generated by the sequencing process.</v>
      </c>
      <c r="G187" s="29" t="str">
        <f>IFERROR(__xludf.DUMMYFUNCTION("""COMPUTED_VALUE"""),"Provide a numerical value (no need to include units).")</f>
        <v>Provide a numerical value (no need to include units).</v>
      </c>
      <c r="H187" s="29">
        <f>IFERROR(__xludf.DUMMYFUNCTION("""COMPUTED_VALUE"""),423867.0)</f>
        <v>423867</v>
      </c>
      <c r="I187" s="29"/>
      <c r="J187" s="29"/>
      <c r="K187" s="30" t="s">
        <v>19</v>
      </c>
      <c r="L187" s="30" t="s">
        <v>19</v>
      </c>
      <c r="M187" s="30" t="s">
        <v>19</v>
      </c>
      <c r="N187" s="31" t="str">
        <f>IFERROR(__xludf.DUMMYFUNCTION("""COMPUTED_VALUE"""),"MpoxInternational")</f>
        <v>MpoxInternational</v>
      </c>
      <c r="O187" s="29"/>
      <c r="P187" s="29"/>
      <c r="Q187" s="29"/>
      <c r="R187" s="29"/>
      <c r="S187" s="29"/>
      <c r="T187" s="29"/>
      <c r="U187" s="29"/>
      <c r="V187" s="29"/>
      <c r="W187" s="29"/>
      <c r="X187" s="29"/>
      <c r="Y187" s="29"/>
      <c r="Z187" s="29"/>
      <c r="AA187" s="29"/>
      <c r="AB187" s="29"/>
    </row>
    <row r="188">
      <c r="A188" s="29" t="str">
        <f>IFERROR(__xludf.DUMMYFUNCTION("""COMPUTED_VALUE"""),"Bioinformatics and QC metrics")</f>
        <v>Bioinformatics and QC metrics</v>
      </c>
      <c r="B188" s="29" t="str">
        <f>IFERROR(__xludf.DUMMYFUNCTION("""COMPUTED_VALUE"""),"number of unique reads")</f>
        <v>number of unique reads</v>
      </c>
      <c r="C188" s="29"/>
      <c r="D188" s="29"/>
      <c r="E188" s="33" t="str">
        <f>IFERROR(__xludf.DUMMYFUNCTION("""COMPUTED_VALUE"""),"GENEPIO:0100828")</f>
        <v>GENEPIO:0100828</v>
      </c>
      <c r="F188" s="29" t="str">
        <f>IFERROR(__xludf.DUMMYFUNCTION("""COMPUTED_VALUE"""),"The number of unique reads generated by the sequencing process.")</f>
        <v>The number of unique reads generated by the sequencing process.</v>
      </c>
      <c r="G188" s="29" t="str">
        <f>IFERROR(__xludf.DUMMYFUNCTION("""COMPUTED_VALUE"""),"Provide a numerical value (no need to include units).")</f>
        <v>Provide a numerical value (no need to include units).</v>
      </c>
      <c r="H188" s="29">
        <f>IFERROR(__xludf.DUMMYFUNCTION("""COMPUTED_VALUE"""),248236.0)</f>
        <v>248236</v>
      </c>
      <c r="I188" s="29"/>
      <c r="J188" s="29"/>
      <c r="K188" s="30" t="s">
        <v>19</v>
      </c>
      <c r="L188" s="30" t="s">
        <v>19</v>
      </c>
      <c r="M188" s="30" t="s">
        <v>19</v>
      </c>
      <c r="N188" s="31" t="str">
        <f>IFERROR(__xludf.DUMMYFUNCTION("""COMPUTED_VALUE"""),"MpoxInternational")</f>
        <v>MpoxInternational</v>
      </c>
      <c r="O188" s="29"/>
      <c r="P188" s="29"/>
      <c r="Q188" s="29"/>
      <c r="R188" s="29"/>
      <c r="S188" s="29"/>
      <c r="T188" s="29"/>
      <c r="U188" s="29"/>
      <c r="V188" s="29"/>
      <c r="W188" s="29"/>
      <c r="X188" s="29"/>
      <c r="Y188" s="29"/>
      <c r="Z188" s="29"/>
      <c r="AA188" s="29"/>
      <c r="AB188" s="29"/>
    </row>
    <row r="189">
      <c r="A189" s="29" t="str">
        <f>IFERROR(__xludf.DUMMYFUNCTION("""COMPUTED_VALUE"""),"Bioinformatics and QC metrics")</f>
        <v>Bioinformatics and QC metrics</v>
      </c>
      <c r="B189" s="29" t="str">
        <f>IFERROR(__xludf.DUMMYFUNCTION("""COMPUTED_VALUE"""),"minimum post-trimming read length")</f>
        <v>minimum post-trimming read length</v>
      </c>
      <c r="C189" s="29"/>
      <c r="D189" s="29"/>
      <c r="E189" s="33" t="str">
        <f>IFERROR(__xludf.DUMMYFUNCTION("""COMPUTED_VALUE"""),"GENEPIO:0100829")</f>
        <v>GENEPIO:0100829</v>
      </c>
      <c r="F189" s="29" t="str">
        <f>IFERROR(__xludf.DUMMYFUNCTION("""COMPUTED_VALUE"""),"The threshold used as a cut-off for the minimum length of a read after trimming.")</f>
        <v>The threshold used as a cut-off for the minimum length of a read after trimming.</v>
      </c>
      <c r="G189" s="29" t="str">
        <f>IFERROR(__xludf.DUMMYFUNCTION("""COMPUTED_VALUE"""),"Provide a numerical value (no need to include units).")</f>
        <v>Provide a numerical value (no need to include units).</v>
      </c>
      <c r="H189" s="29">
        <f>IFERROR(__xludf.DUMMYFUNCTION("""COMPUTED_VALUE"""),150.0)</f>
        <v>150</v>
      </c>
      <c r="I189" s="29"/>
      <c r="J189" s="29"/>
      <c r="K189" s="30" t="s">
        <v>19</v>
      </c>
      <c r="L189" s="30" t="s">
        <v>19</v>
      </c>
      <c r="M189" s="30" t="s">
        <v>19</v>
      </c>
      <c r="N189" s="31" t="str">
        <f>IFERROR(__xludf.DUMMYFUNCTION("""COMPUTED_VALUE"""),"MpoxInternational")</f>
        <v>MpoxInternational</v>
      </c>
      <c r="O189" s="29"/>
      <c r="P189" s="29"/>
      <c r="Q189" s="29"/>
      <c r="R189" s="29"/>
      <c r="S189" s="29"/>
      <c r="T189" s="29"/>
      <c r="U189" s="29"/>
      <c r="V189" s="29"/>
      <c r="W189" s="29"/>
      <c r="X189" s="29"/>
      <c r="Y189" s="29"/>
      <c r="Z189" s="29"/>
      <c r="AA189" s="29"/>
      <c r="AB189" s="29"/>
    </row>
    <row r="190">
      <c r="A190" s="29" t="str">
        <f>IFERROR(__xludf.DUMMYFUNCTION("""COMPUTED_VALUE"""),"Bioinformatics and QC metrics")</f>
        <v>Bioinformatics and QC metrics</v>
      </c>
      <c r="B190" s="29" t="str">
        <f>IFERROR(__xludf.DUMMYFUNCTION("""COMPUTED_VALUE"""),"breadth of coverage value")</f>
        <v>breadth of coverage value</v>
      </c>
      <c r="C190" s="29"/>
      <c r="D190" s="29"/>
      <c r="E190" s="29" t="str">
        <f>IFERROR(__xludf.DUMMYFUNCTION("""COMPUTED_VALUE"""),"GENEPIO:0001472")</f>
        <v>GENEPIO:0001472</v>
      </c>
      <c r="F190" s="29" t="str">
        <f>IFERROR(__xludf.DUMMYFUNCTION("""COMPUTED_VALUE"""),"The percentage of the reference genome covered by the sequenced data, to a prescribed depth.")</f>
        <v>The percentage of the reference genome covered by the sequenced data, to a prescribed depth.</v>
      </c>
      <c r="G190" s="29" t="str">
        <f>IFERROR(__xludf.DUMMYFUNCTION("""COMPUTED_VALUE"""),"Provide value as a percentage.")</f>
        <v>Provide value as a percentage.</v>
      </c>
      <c r="H190" s="41">
        <f>IFERROR(__xludf.DUMMYFUNCTION("""COMPUTED_VALUE"""),0.95)</f>
        <v>0.95</v>
      </c>
      <c r="I190" s="29"/>
      <c r="J190" s="29"/>
      <c r="K190" s="30" t="s">
        <v>22</v>
      </c>
      <c r="L190" s="30" t="s">
        <v>22</v>
      </c>
      <c r="M190" s="30" t="s">
        <v>22</v>
      </c>
      <c r="N190" s="31" t="str">
        <f>IFERROR(__xludf.DUMMYFUNCTION("""COMPUTED_VALUE"""),"Mpox;MpoxInternational")</f>
        <v>Mpox;MpoxInternational</v>
      </c>
      <c r="O190" s="29"/>
      <c r="P190" s="29"/>
      <c r="Q190" s="29"/>
      <c r="R190" s="29"/>
      <c r="S190" s="29"/>
      <c r="T190" s="29"/>
      <c r="U190" s="29"/>
      <c r="V190" s="29"/>
      <c r="W190" s="29"/>
      <c r="X190" s="29"/>
      <c r="Y190" s="29"/>
      <c r="Z190" s="29"/>
      <c r="AA190" s="29"/>
      <c r="AB190" s="29"/>
    </row>
    <row r="191">
      <c r="A191" s="29" t="str">
        <f>IFERROR(__xludf.DUMMYFUNCTION("""COMPUTED_VALUE"""),"Bioinformatics and QC metrics")</f>
        <v>Bioinformatics and QC metrics</v>
      </c>
      <c r="B191" s="29" t="str">
        <f>IFERROR(__xludf.DUMMYFUNCTION("""COMPUTED_VALUE"""),"depth of coverage value")</f>
        <v>depth of coverage value</v>
      </c>
      <c r="C191" s="29" t="str">
        <f>IFERROR(__xludf.DUMMYFUNCTION("""COMPUTED_VALUE"""),"")</f>
        <v/>
      </c>
      <c r="D191" s="29" t="str">
        <f>IFERROR(__xludf.DUMMYFUNCTION("""COMPUTED_VALUE"""),"")</f>
        <v/>
      </c>
      <c r="E191" s="29" t="str">
        <f>IFERROR(__xludf.DUMMYFUNCTION("""COMPUTED_VALUE"""),"GENEPIO:0001474")</f>
        <v>GENEPIO:0001474</v>
      </c>
      <c r="F191" s="29" t="str">
        <f>IFERROR(__xludf.DUMMYFUNCTION("""COMPUTED_VALUE"""),"The average number of reads representing a given nucleotide in the reconstructed sequence.")</f>
        <v>The average number of reads representing a given nucleotide in the reconstructed sequence.</v>
      </c>
      <c r="G191" s="29" t="str">
        <f>IFERROR(__xludf.DUMMYFUNCTION("""COMPUTED_VALUE"""),"Provide value as a fold of coverage.")</f>
        <v>Provide value as a fold of coverage.</v>
      </c>
      <c r="H191" s="29" t="str">
        <f>IFERROR(__xludf.DUMMYFUNCTION("""COMPUTED_VALUE"""),"400x")</f>
        <v>400x</v>
      </c>
      <c r="I191" s="29"/>
      <c r="J191" s="29"/>
      <c r="K191" s="30" t="s">
        <v>22</v>
      </c>
      <c r="L191" s="30" t="s">
        <v>22</v>
      </c>
      <c r="M191" s="30" t="s">
        <v>22</v>
      </c>
      <c r="N191" s="31" t="str">
        <f>IFERROR(__xludf.DUMMYFUNCTION("""COMPUTED_VALUE"""),"Mpox;MpoxInternational")</f>
        <v>Mpox;MpoxInternational</v>
      </c>
      <c r="O191" s="29"/>
      <c r="P191" s="29"/>
      <c r="Q191" s="29"/>
      <c r="R191" s="29"/>
      <c r="S191" s="29"/>
      <c r="T191" s="29"/>
      <c r="U191" s="29"/>
      <c r="V191" s="29"/>
      <c r="W191" s="29"/>
      <c r="X191" s="29"/>
      <c r="Y191" s="29"/>
      <c r="Z191" s="29"/>
      <c r="AA191" s="29"/>
      <c r="AB191" s="29"/>
    </row>
    <row r="192">
      <c r="A192" s="29" t="str">
        <f>IFERROR(__xludf.DUMMYFUNCTION("""COMPUTED_VALUE"""),"Bioinformatics and QC metrics")</f>
        <v>Bioinformatics and QC metrics</v>
      </c>
      <c r="B192" s="29" t="str">
        <f>IFERROR(__xludf.DUMMYFUNCTION("""COMPUTED_VALUE"""),"depth of coverage threshold")</f>
        <v>depth of coverage threshold</v>
      </c>
      <c r="C192" s="29" t="str">
        <f>IFERROR(__xludf.DUMMYFUNCTION("""COMPUTED_VALUE"""),"")</f>
        <v/>
      </c>
      <c r="D192" s="29" t="str">
        <f>IFERROR(__xludf.DUMMYFUNCTION("""COMPUTED_VALUE"""),"")</f>
        <v/>
      </c>
      <c r="E192" s="29" t="str">
        <f>IFERROR(__xludf.DUMMYFUNCTION("""COMPUTED_VALUE"""),"GENEPIO:0001475")</f>
        <v>GENEPIO:0001475</v>
      </c>
      <c r="F192" s="29" t="str">
        <f>IFERROR(__xludf.DUMMYFUNCTION("""COMPUTED_VALUE"""),"The threshold used as a cut-off for the depth of coverage.")</f>
        <v>The threshold used as a cut-off for the depth of coverage.</v>
      </c>
      <c r="G192" s="29" t="str">
        <f>IFERROR(__xludf.DUMMYFUNCTION("""COMPUTED_VALUE"""),"Provide the threshold fold coverage.")</f>
        <v>Provide the threshold fold coverage.</v>
      </c>
      <c r="H192" s="29" t="str">
        <f>IFERROR(__xludf.DUMMYFUNCTION("""COMPUTED_VALUE"""),"100x")</f>
        <v>100x</v>
      </c>
      <c r="I192" s="29"/>
      <c r="J192" s="29"/>
      <c r="K192" s="30" t="s">
        <v>22</v>
      </c>
      <c r="L192" s="30" t="s">
        <v>22</v>
      </c>
      <c r="M192" s="30" t="s">
        <v>22</v>
      </c>
      <c r="N192" s="31" t="str">
        <f>IFERROR(__xludf.DUMMYFUNCTION("""COMPUTED_VALUE"""),"Mpox;MpoxInternational")</f>
        <v>Mpox;MpoxInternational</v>
      </c>
      <c r="O192" s="29"/>
      <c r="P192" s="29"/>
      <c r="Q192" s="29"/>
      <c r="R192" s="29"/>
      <c r="S192" s="29"/>
      <c r="T192" s="29"/>
      <c r="U192" s="29"/>
      <c r="V192" s="29"/>
      <c r="W192" s="29"/>
      <c r="X192" s="29"/>
      <c r="Y192" s="29"/>
      <c r="Z192" s="29"/>
      <c r="AA192" s="29"/>
      <c r="AB192" s="29"/>
    </row>
    <row r="193">
      <c r="A193" s="29" t="str">
        <f>IFERROR(__xludf.DUMMYFUNCTION("""COMPUTED_VALUE"""),"Bioinformatics and QC metrics")</f>
        <v>Bioinformatics and QC metrics</v>
      </c>
      <c r="B193" s="29" t="str">
        <f>IFERROR(__xludf.DUMMYFUNCTION("""COMPUTED_VALUE"""),"number of base pairs sequenced")</f>
        <v>number of base pairs sequenced</v>
      </c>
      <c r="C193" s="29" t="str">
        <f>IFERROR(__xludf.DUMMYFUNCTION("""COMPUTED_VALUE"""),"")</f>
        <v/>
      </c>
      <c r="D193" s="29" t="str">
        <f>IFERROR(__xludf.DUMMYFUNCTION("""COMPUTED_VALUE"""),"")</f>
        <v/>
      </c>
      <c r="E193" s="29" t="str">
        <f>IFERROR(__xludf.DUMMYFUNCTION("""COMPUTED_VALUE"""),"GENEPIO:0001482")</f>
        <v>GENEPIO:0001482</v>
      </c>
      <c r="F193" s="29" t="str">
        <f>IFERROR(__xludf.DUMMYFUNCTION("""COMPUTED_VALUE"""),"The number of total base pairs generated by the sequencing process.")</f>
        <v>The number of total base pairs generated by the sequencing process.</v>
      </c>
      <c r="G193" s="29" t="str">
        <f>IFERROR(__xludf.DUMMYFUNCTION("""COMPUTED_VALUE"""),"Provide a numerical value (no need to include units).")</f>
        <v>Provide a numerical value (no need to include units).</v>
      </c>
      <c r="H193" s="29">
        <f>IFERROR(__xludf.DUMMYFUNCTION("""COMPUTED_VALUE"""),2639019.0)</f>
        <v>2639019</v>
      </c>
      <c r="I193" s="29"/>
      <c r="J193" s="29"/>
      <c r="K193" s="30" t="s">
        <v>19</v>
      </c>
      <c r="L193" s="30" t="s">
        <v>19</v>
      </c>
      <c r="M193" s="30" t="s">
        <v>19</v>
      </c>
      <c r="N193" s="31" t="str">
        <f>IFERROR(__xludf.DUMMYFUNCTION("""COMPUTED_VALUE"""),"Mpox;MpoxInternational")</f>
        <v>Mpox;MpoxInternational</v>
      </c>
      <c r="O193" s="29"/>
      <c r="P193" s="29"/>
      <c r="Q193" s="29"/>
      <c r="R193" s="29"/>
      <c r="S193" s="29"/>
      <c r="T193" s="29"/>
      <c r="U193" s="29"/>
      <c r="V193" s="29"/>
      <c r="W193" s="29"/>
      <c r="X193" s="29"/>
      <c r="Y193" s="29"/>
      <c r="Z193" s="29"/>
      <c r="AA193" s="29"/>
      <c r="AB193" s="29"/>
    </row>
    <row r="194">
      <c r="A194" s="29" t="str">
        <f>IFERROR(__xludf.DUMMYFUNCTION("""COMPUTED_VALUE"""),"Bioinformatics and QC metrics")</f>
        <v>Bioinformatics and QC metrics</v>
      </c>
      <c r="B194" s="29" t="str">
        <f>IFERROR(__xludf.DUMMYFUNCTION("""COMPUTED_VALUE"""),"consensus genome length")</f>
        <v>consensus genome length</v>
      </c>
      <c r="C194" s="29" t="str">
        <f>IFERROR(__xludf.DUMMYFUNCTION("""COMPUTED_VALUE"""),"")</f>
        <v/>
      </c>
      <c r="D194" s="29" t="str">
        <f>IFERROR(__xludf.DUMMYFUNCTION("""COMPUTED_VALUE"""),"")</f>
        <v/>
      </c>
      <c r="E194" s="29" t="str">
        <f>IFERROR(__xludf.DUMMYFUNCTION("""COMPUTED_VALUE"""),"GENEPIO:0001483")</f>
        <v>GENEPIO:0001483</v>
      </c>
      <c r="F194" s="29" t="str">
        <f>IFERROR(__xludf.DUMMYFUNCTION("""COMPUTED_VALUE"""),"Size of the reconstructed genome described as the number of base pairs.")</f>
        <v>Size of the reconstructed genome described as the number of base pairs.</v>
      </c>
      <c r="G194" s="29" t="str">
        <f>IFERROR(__xludf.DUMMYFUNCTION("""COMPUTED_VALUE"""),"Provide a numerical value (no need to include units).")</f>
        <v>Provide a numerical value (no need to include units).</v>
      </c>
      <c r="H194" s="29">
        <f>IFERROR(__xludf.DUMMYFUNCTION("""COMPUTED_VALUE"""),197063.0)</f>
        <v>197063</v>
      </c>
      <c r="I194" s="29"/>
      <c r="J194" s="29"/>
      <c r="K194" s="30" t="s">
        <v>19</v>
      </c>
      <c r="L194" s="30" t="s">
        <v>19</v>
      </c>
      <c r="M194" s="30" t="s">
        <v>19</v>
      </c>
      <c r="N194" s="31" t="str">
        <f>IFERROR(__xludf.DUMMYFUNCTION("""COMPUTED_VALUE"""),"Mpox;MpoxInternational")</f>
        <v>Mpox;MpoxInternational</v>
      </c>
      <c r="O194" s="29"/>
      <c r="P194" s="29"/>
      <c r="Q194" s="29"/>
      <c r="R194" s="29"/>
      <c r="S194" s="29"/>
      <c r="T194" s="29"/>
      <c r="U194" s="29"/>
      <c r="V194" s="29"/>
      <c r="W194" s="29"/>
      <c r="X194" s="29"/>
      <c r="Y194" s="29"/>
      <c r="Z194" s="29"/>
      <c r="AA194" s="29"/>
      <c r="AB194" s="29"/>
    </row>
    <row r="195">
      <c r="A195" s="29" t="str">
        <f>IFERROR(__xludf.DUMMYFUNCTION("""COMPUTED_VALUE"""),"Bioinformatics and QC metrics")</f>
        <v>Bioinformatics and QC metrics</v>
      </c>
      <c r="B195" s="29" t="str">
        <f>IFERROR(__xludf.DUMMYFUNCTION("""COMPUTED_VALUE"""),"sequence assembly length")</f>
        <v>sequence assembly length</v>
      </c>
      <c r="C195" s="29"/>
      <c r="D195" s="29"/>
      <c r="E195" s="33" t="str">
        <f>IFERROR(__xludf.DUMMYFUNCTION("""COMPUTED_VALUE"""),"GENEPIO:0100846")</f>
        <v>GENEPIO:0100846</v>
      </c>
      <c r="F195" s="29" t="str">
        <f>IFERROR(__xludf.DUMMYFUNCTION("""COMPUTED_VALUE"""),"The length of the genome generated by assembling reads using a scaffold or by reference-based mapping.")</f>
        <v>The length of the genome generated by assembling reads using a scaffold or by reference-based mapping.</v>
      </c>
      <c r="G195" s="29" t="str">
        <f>IFERROR(__xludf.DUMMYFUNCTION("""COMPUTED_VALUE"""),"Provide a numerical value (no need to include units).")</f>
        <v>Provide a numerical value (no need to include units).</v>
      </c>
      <c r="H195" s="29">
        <f>IFERROR(__xludf.DUMMYFUNCTION("""COMPUTED_VALUE"""),34272.0)</f>
        <v>34272</v>
      </c>
      <c r="I195" s="29"/>
      <c r="J195" s="29"/>
      <c r="K195" s="30" t="s">
        <v>19</v>
      </c>
      <c r="L195" s="30" t="s">
        <v>19</v>
      </c>
      <c r="M195" s="30" t="s">
        <v>19</v>
      </c>
      <c r="N195" s="31" t="str">
        <f>IFERROR(__xludf.DUMMYFUNCTION("""COMPUTED_VALUE"""),"MpoxInternational")</f>
        <v>MpoxInternational</v>
      </c>
      <c r="O195" s="29"/>
      <c r="P195" s="29"/>
      <c r="Q195" s="29"/>
      <c r="R195" s="29"/>
      <c r="S195" s="29"/>
      <c r="T195" s="29"/>
      <c r="U195" s="29"/>
      <c r="V195" s="29"/>
      <c r="W195" s="29"/>
      <c r="X195" s="29"/>
      <c r="Y195" s="29"/>
      <c r="Z195" s="29"/>
      <c r="AA195" s="29"/>
      <c r="AB195" s="29"/>
    </row>
    <row r="196">
      <c r="A196" s="29" t="str">
        <f>IFERROR(__xludf.DUMMYFUNCTION("""COMPUTED_VALUE"""),"Bioinformatics and QC metrics")</f>
        <v>Bioinformatics and QC metrics</v>
      </c>
      <c r="B196" s="29" t="str">
        <f>IFERROR(__xludf.DUMMYFUNCTION("""COMPUTED_VALUE"""),"number of contigs")</f>
        <v>number of contigs</v>
      </c>
      <c r="C196" s="29"/>
      <c r="D196" s="29"/>
      <c r="E196" s="33" t="str">
        <f>IFERROR(__xludf.DUMMYFUNCTION("""COMPUTED_VALUE"""),"GENEPIO:0100937")</f>
        <v>GENEPIO:0100937</v>
      </c>
      <c r="F196" s="29" t="str">
        <f>IFERROR(__xludf.DUMMYFUNCTION("""COMPUTED_VALUE"""),"The number of contigs (contiguous sequences) in a sequence assembly.")</f>
        <v>The number of contigs (contiguous sequences) in a sequence assembly.</v>
      </c>
      <c r="G196" s="29" t="str">
        <f>IFERROR(__xludf.DUMMYFUNCTION("""COMPUTED_VALUE"""),"Provide a numerical value.")</f>
        <v>Provide a numerical value.</v>
      </c>
      <c r="H196" s="29">
        <f>IFERROR(__xludf.DUMMYFUNCTION("""COMPUTED_VALUE"""),10.0)</f>
        <v>10</v>
      </c>
      <c r="I196" s="29"/>
      <c r="J196" s="29"/>
      <c r="K196" s="30" t="s">
        <v>19</v>
      </c>
      <c r="L196" s="30" t="s">
        <v>19</v>
      </c>
      <c r="M196" s="30" t="s">
        <v>19</v>
      </c>
      <c r="N196" s="31" t="str">
        <f>IFERROR(__xludf.DUMMYFUNCTION("""COMPUTED_VALUE"""),"MpoxInternational")</f>
        <v>MpoxInternational</v>
      </c>
      <c r="O196" s="29"/>
      <c r="P196" s="29"/>
      <c r="Q196" s="29"/>
      <c r="R196" s="29"/>
      <c r="S196" s="29"/>
      <c r="T196" s="29"/>
      <c r="U196" s="29"/>
      <c r="V196" s="29"/>
      <c r="W196" s="29"/>
      <c r="X196" s="29"/>
      <c r="Y196" s="29"/>
      <c r="Z196" s="29"/>
      <c r="AA196" s="29"/>
      <c r="AB196" s="29"/>
    </row>
    <row r="197">
      <c r="A197" s="29" t="str">
        <f>IFERROR(__xludf.DUMMYFUNCTION("""COMPUTED_VALUE"""),"Bioinformatics and QC metrics")</f>
        <v>Bioinformatics and QC metrics</v>
      </c>
      <c r="B197" s="29" t="str">
        <f>IFERROR(__xludf.DUMMYFUNCTION("""COMPUTED_VALUE"""),"genome completeness")</f>
        <v>genome completeness</v>
      </c>
      <c r="C197" s="29"/>
      <c r="D197" s="29"/>
      <c r="E197" s="33" t="str">
        <f>IFERROR(__xludf.DUMMYFUNCTION("""COMPUTED_VALUE"""),"GENEPIO:0100844")</f>
        <v>GENEPIO:0100844</v>
      </c>
      <c r="F197"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7" s="29" t="str">
        <f>IFERROR(__xludf.DUMMYFUNCTION("""COMPUTED_VALUE"""),"Provide the genome completeness as a percent (no need to include units).")</f>
        <v>Provide the genome completeness as a percent (no need to include units).</v>
      </c>
      <c r="H197" s="29">
        <f>IFERROR(__xludf.DUMMYFUNCTION("""COMPUTED_VALUE"""),85.0)</f>
        <v>85</v>
      </c>
      <c r="I197" s="29"/>
      <c r="J197" s="29"/>
      <c r="K197" s="30" t="s">
        <v>19</v>
      </c>
      <c r="L197" s="30" t="s">
        <v>19</v>
      </c>
      <c r="M197" s="30" t="s">
        <v>19</v>
      </c>
      <c r="N197" s="31" t="str">
        <f>IFERROR(__xludf.DUMMYFUNCTION("""COMPUTED_VALUE"""),"MpoxInternational")</f>
        <v>MpoxInternational</v>
      </c>
      <c r="O197" s="29"/>
      <c r="P197" s="29"/>
      <c r="Q197" s="29"/>
      <c r="R197" s="29"/>
      <c r="S197" s="29"/>
      <c r="T197" s="29"/>
      <c r="U197" s="29"/>
      <c r="V197" s="29"/>
      <c r="W197" s="29"/>
      <c r="X197" s="29"/>
      <c r="Y197" s="29"/>
      <c r="Z197" s="29"/>
      <c r="AA197" s="29"/>
      <c r="AB197" s="29"/>
    </row>
    <row r="198">
      <c r="A198" s="29" t="str">
        <f>IFERROR(__xludf.DUMMYFUNCTION("""COMPUTED_VALUE"""),"Bioinformatics and QC metrics")</f>
        <v>Bioinformatics and QC metrics</v>
      </c>
      <c r="B198" s="29" t="str">
        <f>IFERROR(__xludf.DUMMYFUNCTION("""COMPUTED_VALUE"""),"N50")</f>
        <v>N50</v>
      </c>
      <c r="C198" s="29"/>
      <c r="D198" s="29"/>
      <c r="E198" s="33" t="str">
        <f>IFERROR(__xludf.DUMMYFUNCTION("""COMPUTED_VALUE"""),"GENEPIO:0100938")</f>
        <v>GENEPIO:0100938</v>
      </c>
      <c r="F198"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8" s="29" t="str">
        <f>IFERROR(__xludf.DUMMYFUNCTION("""COMPUTED_VALUE"""),"Provide the N50 value in Mb.")</f>
        <v>Provide the N50 value in Mb.</v>
      </c>
      <c r="H198" s="29">
        <f>IFERROR(__xludf.DUMMYFUNCTION("""COMPUTED_VALUE"""),150.0)</f>
        <v>150</v>
      </c>
      <c r="I198" s="29"/>
      <c r="J198" s="29"/>
      <c r="K198" s="30" t="s">
        <v>19</v>
      </c>
      <c r="L198" s="30" t="s">
        <v>19</v>
      </c>
      <c r="M198" s="30" t="s">
        <v>19</v>
      </c>
      <c r="N198" s="31" t="str">
        <f>IFERROR(__xludf.DUMMYFUNCTION("""COMPUTED_VALUE"""),"MpoxInternational")</f>
        <v>MpoxInternational</v>
      </c>
      <c r="O198" s="29"/>
      <c r="P198" s="29"/>
      <c r="Q198" s="29"/>
      <c r="R198" s="29"/>
      <c r="S198" s="29"/>
      <c r="T198" s="29"/>
      <c r="U198" s="29"/>
      <c r="V198" s="29"/>
      <c r="W198" s="29"/>
      <c r="X198" s="29"/>
      <c r="Y198" s="29"/>
      <c r="Z198" s="29"/>
      <c r="AA198" s="29"/>
      <c r="AB198" s="29"/>
    </row>
    <row r="199">
      <c r="A199" s="29" t="str">
        <f>IFERROR(__xludf.DUMMYFUNCTION("""COMPUTED_VALUE"""),"Bioinformatics and QC metrics")</f>
        <v>Bioinformatics and QC metrics</v>
      </c>
      <c r="B199" s="29" t="str">
        <f>IFERROR(__xludf.DUMMYFUNCTION("""COMPUTED_VALUE"""),"percent Ns across total genome length")</f>
        <v>percent Ns across total genome length</v>
      </c>
      <c r="C199" s="29"/>
      <c r="D199" s="29"/>
      <c r="E199" s="33" t="str">
        <f>IFERROR(__xludf.DUMMYFUNCTION("""COMPUTED_VALUE"""),"GENEPIO:0100830")</f>
        <v>GENEPIO:0100830</v>
      </c>
      <c r="F199" s="29" t="str">
        <f>IFERROR(__xludf.DUMMYFUNCTION("""COMPUTED_VALUE"""),"The percentage of the assembly that consists of ambiguous bases (Ns).")</f>
        <v>The percentage of the assembly that consists of ambiguous bases (Ns).</v>
      </c>
      <c r="G199" s="29" t="str">
        <f>IFERROR(__xludf.DUMMYFUNCTION("""COMPUTED_VALUE"""),"Provide a numerical value (no need to include units).")</f>
        <v>Provide a numerical value (no need to include units).</v>
      </c>
      <c r="H199" s="29">
        <f>IFERROR(__xludf.DUMMYFUNCTION("""COMPUTED_VALUE"""),2.0)</f>
        <v>2</v>
      </c>
      <c r="I199" s="29"/>
      <c r="J199" s="29"/>
      <c r="K199" s="30" t="s">
        <v>19</v>
      </c>
      <c r="L199" s="30" t="s">
        <v>19</v>
      </c>
      <c r="M199" s="30" t="s">
        <v>19</v>
      </c>
      <c r="N199" s="31" t="str">
        <f>IFERROR(__xludf.DUMMYFUNCTION("""COMPUTED_VALUE"""),"MpoxInternational")</f>
        <v>MpoxInternational</v>
      </c>
      <c r="O199" s="29"/>
      <c r="P199" s="29"/>
      <c r="Q199" s="29"/>
      <c r="R199" s="29"/>
      <c r="S199" s="29"/>
      <c r="T199" s="29"/>
      <c r="U199" s="29"/>
      <c r="V199" s="29"/>
      <c r="W199" s="29"/>
      <c r="X199" s="29"/>
      <c r="Y199" s="29"/>
      <c r="Z199" s="29"/>
      <c r="AA199" s="29"/>
      <c r="AB199" s="29"/>
    </row>
    <row r="200">
      <c r="A200" s="29" t="str">
        <f>IFERROR(__xludf.DUMMYFUNCTION("""COMPUTED_VALUE"""),"Bioinformatics and QC metrics")</f>
        <v>Bioinformatics and QC metrics</v>
      </c>
      <c r="B200" s="29" t="str">
        <f>IFERROR(__xludf.DUMMYFUNCTION("""COMPUTED_VALUE"""),"Ns per 100 kbp")</f>
        <v>Ns per 100 kbp</v>
      </c>
      <c r="C200" s="29"/>
      <c r="D200" s="29"/>
      <c r="E200" s="33" t="str">
        <f>IFERROR(__xludf.DUMMYFUNCTION("""COMPUTED_VALUE"""),"GENEPIO:0001484")</f>
        <v>GENEPIO:0001484</v>
      </c>
      <c r="F200" s="29" t="str">
        <f>IFERROR(__xludf.DUMMYFUNCTION("""COMPUTED_VALUE"""),"The number of ambiguous bases (Ns) normalized per 100 kilobasepairs (kbp).")</f>
        <v>The number of ambiguous bases (Ns) normalized per 100 kilobasepairs (kbp).</v>
      </c>
      <c r="G200" s="29" t="str">
        <f>IFERROR(__xludf.DUMMYFUNCTION("""COMPUTED_VALUE"""),"Provide a numerical value (no need to include units).")</f>
        <v>Provide a numerical value (no need to include units).</v>
      </c>
      <c r="H200" s="29">
        <f>IFERROR(__xludf.DUMMYFUNCTION("""COMPUTED_VALUE"""),342.0)</f>
        <v>342</v>
      </c>
      <c r="I200" s="29"/>
      <c r="J200" s="29"/>
      <c r="K200" s="30" t="s">
        <v>19</v>
      </c>
      <c r="L200" s="30" t="s">
        <v>19</v>
      </c>
      <c r="M200" s="30" t="s">
        <v>19</v>
      </c>
      <c r="N200" s="31" t="str">
        <f>IFERROR(__xludf.DUMMYFUNCTION("""COMPUTED_VALUE"""),"MpoxInternational")</f>
        <v>MpoxInternational</v>
      </c>
      <c r="O200" s="29"/>
      <c r="P200" s="29"/>
      <c r="Q200" s="29"/>
      <c r="R200" s="29"/>
      <c r="S200" s="29"/>
      <c r="T200" s="29"/>
      <c r="U200" s="29"/>
      <c r="V200" s="29"/>
      <c r="W200" s="29"/>
      <c r="X200" s="29"/>
      <c r="Y200" s="29"/>
      <c r="Z200" s="29"/>
      <c r="AA200" s="29"/>
      <c r="AB200" s="29"/>
    </row>
    <row r="201">
      <c r="A201" s="29" t="str">
        <f>IFERROR(__xludf.DUMMYFUNCTION("""COMPUTED_VALUE"""),"Bioinformatics and QC metrics")</f>
        <v>Bioinformatics and QC metrics</v>
      </c>
      <c r="B201" s="29" t="str">
        <f>IFERROR(__xludf.DUMMYFUNCTION("""COMPUTED_VALUE"""),"reference genome accession")</f>
        <v>reference genome accession</v>
      </c>
      <c r="C201" s="29"/>
      <c r="D201" s="29"/>
      <c r="E201" s="29" t="str">
        <f>IFERROR(__xludf.DUMMYFUNCTION("""COMPUTED_VALUE"""),"GENEPIO:0001485")</f>
        <v>GENEPIO:0001485</v>
      </c>
      <c r="F201" s="29" t="str">
        <f>IFERROR(__xludf.DUMMYFUNCTION("""COMPUTED_VALUE"""),"A persistent, unique identifier of a genome database entry.")</f>
        <v>A persistent, unique identifier of a genome database entry.</v>
      </c>
      <c r="G201" s="29" t="str">
        <f>IFERROR(__xludf.DUMMYFUNCTION("""COMPUTED_VALUE"""),"Provide the accession number of the reference genome.")</f>
        <v>Provide the accession number of the reference genome.</v>
      </c>
      <c r="H201" s="29" t="str">
        <f>IFERROR(__xludf.DUMMYFUNCTION("""COMPUTED_VALUE"""),"NC_063383.1")</f>
        <v>NC_063383.1</v>
      </c>
      <c r="I201" s="29"/>
      <c r="J201" s="29"/>
      <c r="K201" s="30" t="s">
        <v>19</v>
      </c>
      <c r="L201" s="30" t="s">
        <v>19</v>
      </c>
      <c r="M201" s="30" t="s">
        <v>19</v>
      </c>
      <c r="N201" s="37" t="str">
        <f>IFERROR(__xludf.DUMMYFUNCTION("""COMPUTED_VALUE"""),"Mpox;MpoxInternational")</f>
        <v>Mpox;MpoxInternational</v>
      </c>
      <c r="O201" s="29"/>
      <c r="P201" s="29"/>
      <c r="Q201" s="29"/>
      <c r="R201" s="29"/>
      <c r="S201" s="29"/>
      <c r="T201" s="29"/>
      <c r="U201" s="29"/>
      <c r="V201" s="29"/>
      <c r="W201" s="29"/>
      <c r="X201" s="29"/>
      <c r="Y201" s="29"/>
      <c r="Z201" s="29"/>
      <c r="AA201" s="29"/>
      <c r="AB201" s="29"/>
    </row>
    <row r="202">
      <c r="A202" s="29" t="str">
        <f>IFERROR(__xludf.DUMMYFUNCTION("""COMPUTED_VALUE"""),"Bioinformatics and QC metrics")</f>
        <v>Bioinformatics and QC metrics</v>
      </c>
      <c r="B202" s="29" t="str">
        <f>IFERROR(__xludf.DUMMYFUNCTION("""COMPUTED_VALUE"""),"bioinformatics protocol")</f>
        <v>bioinformatics protocol</v>
      </c>
      <c r="C202" s="29" t="b">
        <f>IFERROR(__xludf.DUMMYFUNCTION("""COMPUTED_VALUE"""),TRUE)</f>
        <v>1</v>
      </c>
      <c r="D202" s="29" t="str">
        <f>IFERROR(__xludf.DUMMYFUNCTION("""COMPUTED_VALUE"""),"")</f>
        <v/>
      </c>
      <c r="E202" s="29" t="str">
        <f>IFERROR(__xludf.DUMMYFUNCTION("""COMPUTED_VALUE"""),"GENEPIO:0001489")</f>
        <v>GENEPIO:0001489</v>
      </c>
      <c r="F202" s="29" t="str">
        <f>IFERROR(__xludf.DUMMYFUNCTION("""COMPUTED_VALUE"""),"A description of the overall bioinformatics strategy used.")</f>
        <v>A description of the overall bioinformatics strategy used.</v>
      </c>
      <c r="G202"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2" s="38" t="str">
        <f>IFERROR(__xludf.DUMMYFUNCTION("""COMPUTED_VALUE"""),"https://github.com/phac-nml/monkeypox-nf")</f>
        <v>https://github.com/phac-nml/monkeypox-nf</v>
      </c>
      <c r="I202" s="29"/>
      <c r="J202" s="29"/>
      <c r="K202" s="30" t="s">
        <v>21</v>
      </c>
      <c r="L202" s="30" t="s">
        <v>21</v>
      </c>
      <c r="M202" s="30" t="s">
        <v>21</v>
      </c>
      <c r="N202" s="31" t="str">
        <f>IFERROR(__xludf.DUMMYFUNCTION("""COMPUTED_VALUE"""),"Mpox")</f>
        <v>Mpox</v>
      </c>
      <c r="O202" s="29"/>
      <c r="P202" s="29"/>
      <c r="Q202" s="29"/>
      <c r="R202" s="29"/>
      <c r="S202" s="29"/>
      <c r="T202" s="29"/>
      <c r="U202" s="29"/>
      <c r="V202" s="29"/>
      <c r="W202" s="29"/>
      <c r="X202" s="29"/>
      <c r="Y202" s="29"/>
      <c r="Z202" s="29"/>
      <c r="AA202" s="29"/>
      <c r="AB202" s="29"/>
    </row>
    <row r="203">
      <c r="A203" s="29" t="str">
        <f>IFERROR(__xludf.DUMMYFUNCTION("""COMPUTED_VALUE"""),"Bioinformatics and QC metrics")</f>
        <v>Bioinformatics and QC metrics</v>
      </c>
      <c r="B203" s="29" t="str">
        <f>IFERROR(__xludf.DUMMYFUNCTION("""COMPUTED_VALUE"""),"bioinformatics protocol")</f>
        <v>bioinformatics protocol</v>
      </c>
      <c r="C203" s="29"/>
      <c r="D203" s="29" t="str">
        <f>IFERROR(__xludf.DUMMYFUNCTION("""COMPUTED_VALUE"""),"")</f>
        <v/>
      </c>
      <c r="E203" s="29" t="str">
        <f>IFERROR(__xludf.DUMMYFUNCTION("""COMPUTED_VALUE"""),"GENEPIO:0001489")</f>
        <v>GENEPIO:0001489</v>
      </c>
      <c r="F203" s="29" t="str">
        <f>IFERROR(__xludf.DUMMYFUNCTION("""COMPUTED_VALUE"""),"A description of the overall bioinformatics strategy used.")</f>
        <v>A description of the overall bioinformatics strategy used.</v>
      </c>
      <c r="G203"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3" s="38" t="str">
        <f>IFERROR(__xludf.DUMMYFUNCTION("""COMPUTED_VALUE"""),"https://github.com/phac-nml/monkeypox-nf")</f>
        <v>https://github.com/phac-nml/monkeypox-nf</v>
      </c>
      <c r="I203" s="29"/>
      <c r="J203" s="29"/>
      <c r="K203" s="30" t="s">
        <v>21</v>
      </c>
      <c r="L203" s="30" t="s">
        <v>21</v>
      </c>
      <c r="M203" s="30" t="s">
        <v>21</v>
      </c>
      <c r="N203" s="34" t="str">
        <f>IFERROR(__xludf.DUMMYFUNCTION("""COMPUTED_VALUE"""),"MpoxInternational")</f>
        <v>MpoxInternational</v>
      </c>
      <c r="O203" s="29"/>
      <c r="P203" s="29"/>
      <c r="Q203" s="29"/>
      <c r="R203" s="29"/>
      <c r="S203" s="29"/>
      <c r="T203" s="29"/>
      <c r="U203" s="29"/>
      <c r="V203" s="29"/>
      <c r="W203" s="29"/>
      <c r="X203" s="29"/>
      <c r="Y203" s="29"/>
      <c r="Z203" s="29"/>
      <c r="AA203" s="29"/>
      <c r="AB203" s="29"/>
    </row>
    <row r="204">
      <c r="A204" s="29"/>
      <c r="B204" s="29" t="str">
        <f>IFERROR(__xludf.DUMMYFUNCTION("""COMPUTED_VALUE"""),"Taxonomic identification information")</f>
        <v>Taxonomic identification information</v>
      </c>
      <c r="C204" s="29" t="str">
        <f>IFERROR(__xludf.DUMMYFUNCTION("""COMPUTED_VALUE"""),"")</f>
        <v/>
      </c>
      <c r="D204" s="29" t="str">
        <f>IFERROR(__xludf.DUMMYFUNCTION("""COMPUTED_VALUE"""),"")</f>
        <v/>
      </c>
      <c r="E204" s="29" t="str">
        <f>IFERROR(__xludf.DUMMYFUNCTION("""COMPUTED_VALUE"""),"GENEPIO:0101082")</f>
        <v>GENEPIO:0101082</v>
      </c>
      <c r="F204" s="29"/>
      <c r="G204" s="29"/>
      <c r="H204" s="29"/>
      <c r="I204" s="29"/>
      <c r="J204" s="29"/>
      <c r="K204" s="30"/>
      <c r="L204" s="30"/>
      <c r="M204" s="30"/>
      <c r="N204" s="34" t="str">
        <f>IFERROR(__xludf.DUMMYFUNCTION("""COMPUTED_VALUE"""),"MpoxInternational")</f>
        <v>MpoxInternational</v>
      </c>
      <c r="O204" s="29"/>
      <c r="P204" s="29"/>
      <c r="Q204" s="29"/>
      <c r="R204" s="29"/>
      <c r="S204" s="29"/>
      <c r="T204" s="29"/>
      <c r="U204" s="29"/>
      <c r="V204" s="29"/>
      <c r="W204" s="29"/>
      <c r="X204" s="29"/>
      <c r="Y204" s="29"/>
      <c r="Z204" s="29"/>
      <c r="AA204" s="29"/>
      <c r="AB204" s="29"/>
    </row>
    <row r="205">
      <c r="A205" s="29" t="str">
        <f>IFERROR(__xludf.DUMMYFUNCTION("""COMPUTED_VALUE"""),"Taxonomic identification information")</f>
        <v>Taxonomic identification information</v>
      </c>
      <c r="B205" s="29" t="str">
        <f>IFERROR(__xludf.DUMMYFUNCTION("""COMPUTED_VALUE"""),"read mapping software name")</f>
        <v>read mapping software name</v>
      </c>
      <c r="C205" s="29"/>
      <c r="D205" s="29" t="b">
        <f>IFERROR(__xludf.DUMMYFUNCTION("""COMPUTED_VALUE"""),TRUE)</f>
        <v>1</v>
      </c>
      <c r="E205" s="33" t="str">
        <f>IFERROR(__xludf.DUMMYFUNCTION("""COMPUTED_VALUE"""),"GENEPIO:0100832")</f>
        <v>GENEPIO:0100832</v>
      </c>
      <c r="F205" s="29" t="str">
        <f>IFERROR(__xludf.DUMMYFUNCTION("""COMPUTED_VALUE"""),"The name of the software used to map sequence reads to a reference genome or set of reference genes.")</f>
        <v>The name of the software used to map sequence reads to a reference genome or set of reference genes.</v>
      </c>
      <c r="G205" s="29" t="str">
        <f>IFERROR(__xludf.DUMMYFUNCTION("""COMPUTED_VALUE"""),"Provide the name of the read mapping software.")</f>
        <v>Provide the name of the read mapping software.</v>
      </c>
      <c r="H205" s="29" t="str">
        <f>IFERROR(__xludf.DUMMYFUNCTION("""COMPUTED_VALUE"""),"Bowtie2, BWA-MEM, TopHat")</f>
        <v>Bowtie2, BWA-MEM, TopHat</v>
      </c>
      <c r="I205" s="29"/>
      <c r="J205" s="29"/>
      <c r="K205" s="30" t="s">
        <v>19</v>
      </c>
      <c r="L205" s="30" t="s">
        <v>19</v>
      </c>
      <c r="M205" s="30" t="s">
        <v>19</v>
      </c>
      <c r="N205" s="34" t="str">
        <f>IFERROR(__xludf.DUMMYFUNCTION("""COMPUTED_VALUE"""),"MpoxInternational")</f>
        <v>MpoxInternational</v>
      </c>
      <c r="O205" s="29"/>
      <c r="P205" s="29"/>
      <c r="Q205" s="29"/>
      <c r="R205" s="29"/>
      <c r="S205" s="29"/>
      <c r="T205" s="29"/>
      <c r="U205" s="29"/>
      <c r="V205" s="29"/>
      <c r="W205" s="29"/>
      <c r="X205" s="29"/>
      <c r="Y205" s="29"/>
      <c r="Z205" s="29"/>
      <c r="AA205" s="29"/>
      <c r="AB205" s="29"/>
    </row>
    <row r="206">
      <c r="A206" s="29" t="str">
        <f>IFERROR(__xludf.DUMMYFUNCTION("""COMPUTED_VALUE"""),"Taxonomic identification information")</f>
        <v>Taxonomic identification information</v>
      </c>
      <c r="B206" s="29" t="str">
        <f>IFERROR(__xludf.DUMMYFUNCTION("""COMPUTED_VALUE"""),"read mapping software version")</f>
        <v>read mapping software version</v>
      </c>
      <c r="C206" s="29"/>
      <c r="D206" s="29" t="b">
        <f>IFERROR(__xludf.DUMMYFUNCTION("""COMPUTED_VALUE"""),TRUE)</f>
        <v>1</v>
      </c>
      <c r="E206" s="33" t="str">
        <f>IFERROR(__xludf.DUMMYFUNCTION("""COMPUTED_VALUE"""),"GENEPIO:0100833")</f>
        <v>GENEPIO:0100833</v>
      </c>
      <c r="F206" s="29" t="str">
        <f>IFERROR(__xludf.DUMMYFUNCTION("""COMPUTED_VALUE"""),"The version of the software used to map sequence reads to a reference genome or set of reference genes.")</f>
        <v>The version of the software used to map sequence reads to a reference genome or set of reference genes.</v>
      </c>
      <c r="G206" s="29" t="str">
        <f>IFERROR(__xludf.DUMMYFUNCTION("""COMPUTED_VALUE"""),"Provide the version number of the read mapping software.")</f>
        <v>Provide the version number of the read mapping software.</v>
      </c>
      <c r="H206" s="29" t="str">
        <f>IFERROR(__xludf.DUMMYFUNCTION("""COMPUTED_VALUE"""),"2.5.1")</f>
        <v>2.5.1</v>
      </c>
      <c r="I206" s="29"/>
      <c r="J206" s="29"/>
      <c r="K206" s="30" t="s">
        <v>19</v>
      </c>
      <c r="L206" s="30" t="s">
        <v>19</v>
      </c>
      <c r="M206" s="30" t="s">
        <v>19</v>
      </c>
      <c r="N206" s="34" t="str">
        <f>IFERROR(__xludf.DUMMYFUNCTION("""COMPUTED_VALUE"""),"MpoxInternational")</f>
        <v>MpoxInternational</v>
      </c>
      <c r="O206" s="29"/>
      <c r="P206" s="29"/>
      <c r="Q206" s="29"/>
      <c r="R206" s="29"/>
      <c r="S206" s="29"/>
      <c r="T206" s="29"/>
      <c r="U206" s="29"/>
      <c r="V206" s="29"/>
      <c r="W206" s="29"/>
      <c r="X206" s="29"/>
      <c r="Y206" s="29"/>
      <c r="Z206" s="29"/>
      <c r="AA206" s="29"/>
      <c r="AB206" s="29"/>
    </row>
    <row r="207">
      <c r="A207" s="29" t="str">
        <f>IFERROR(__xludf.DUMMYFUNCTION("""COMPUTED_VALUE"""),"Taxonomic identification information")</f>
        <v>Taxonomic identification information</v>
      </c>
      <c r="B207" s="29" t="str">
        <f>IFERROR(__xludf.DUMMYFUNCTION("""COMPUTED_VALUE"""),"taxonomic reference database name")</f>
        <v>taxonomic reference database name</v>
      </c>
      <c r="C207" s="29"/>
      <c r="D207" s="29" t="b">
        <f>IFERROR(__xludf.DUMMYFUNCTION("""COMPUTED_VALUE"""),TRUE)</f>
        <v>1</v>
      </c>
      <c r="E207" s="33" t="str">
        <f>IFERROR(__xludf.DUMMYFUNCTION("""COMPUTED_VALUE"""),"GENEPIO:0100834")</f>
        <v>GENEPIO:0100834</v>
      </c>
      <c r="F207" s="29" t="str">
        <f>IFERROR(__xludf.DUMMYFUNCTION("""COMPUTED_VALUE"""),"The name of the taxonomic reference database used to identify the organism.")</f>
        <v>The name of the taxonomic reference database used to identify the organism.</v>
      </c>
      <c r="G207" s="29" t="str">
        <f>IFERROR(__xludf.DUMMYFUNCTION("""COMPUTED_VALUE"""),"Provide the name of the taxonomic reference database.")</f>
        <v>Provide the name of the taxonomic reference database.</v>
      </c>
      <c r="H207" s="29" t="str">
        <f>IFERROR(__xludf.DUMMYFUNCTION("""COMPUTED_VALUE"""),"NCBITaxon")</f>
        <v>NCBITaxon</v>
      </c>
      <c r="I207" s="29"/>
      <c r="J207" s="29"/>
      <c r="K207" s="30" t="s">
        <v>19</v>
      </c>
      <c r="L207" s="30" t="s">
        <v>19</v>
      </c>
      <c r="M207" s="30" t="s">
        <v>19</v>
      </c>
      <c r="N207" s="34" t="str">
        <f>IFERROR(__xludf.DUMMYFUNCTION("""COMPUTED_VALUE"""),"MpoxInternational")</f>
        <v>MpoxInternational</v>
      </c>
      <c r="O207" s="29"/>
      <c r="P207" s="29"/>
      <c r="Q207" s="29"/>
      <c r="R207" s="29"/>
      <c r="S207" s="29"/>
      <c r="T207" s="29"/>
      <c r="U207" s="29"/>
      <c r="V207" s="29"/>
      <c r="W207" s="29"/>
      <c r="X207" s="29"/>
      <c r="Y207" s="29"/>
      <c r="Z207" s="29"/>
      <c r="AA207" s="29"/>
      <c r="AB207" s="29"/>
    </row>
    <row r="208">
      <c r="A208" s="29" t="str">
        <f>IFERROR(__xludf.DUMMYFUNCTION("""COMPUTED_VALUE"""),"Taxonomic identification information")</f>
        <v>Taxonomic identification information</v>
      </c>
      <c r="B208" s="29" t="str">
        <f>IFERROR(__xludf.DUMMYFUNCTION("""COMPUTED_VALUE"""),"taxonomic reference database version")</f>
        <v>taxonomic reference database version</v>
      </c>
      <c r="C208" s="29"/>
      <c r="D208" s="29" t="b">
        <f>IFERROR(__xludf.DUMMYFUNCTION("""COMPUTED_VALUE"""),TRUE)</f>
        <v>1</v>
      </c>
      <c r="E208" s="33" t="str">
        <f>IFERROR(__xludf.DUMMYFUNCTION("""COMPUTED_VALUE"""),"GENEPIO:0100835")</f>
        <v>GENEPIO:0100835</v>
      </c>
      <c r="F208" s="29" t="str">
        <f>IFERROR(__xludf.DUMMYFUNCTION("""COMPUTED_VALUE"""),"The version of the taxonomic reference database used to identify the organism.")</f>
        <v>The version of the taxonomic reference database used to identify the organism.</v>
      </c>
      <c r="G208" s="29" t="str">
        <f>IFERROR(__xludf.DUMMYFUNCTION("""COMPUTED_VALUE"""),"Provide the version number of the taxonomic reference database.")</f>
        <v>Provide the version number of the taxonomic reference database.</v>
      </c>
      <c r="H208" s="29">
        <f>IFERROR(__xludf.DUMMYFUNCTION("""COMPUTED_VALUE"""),1.3)</f>
        <v>1.3</v>
      </c>
      <c r="I208" s="29"/>
      <c r="J208" s="29"/>
      <c r="K208" s="30" t="s">
        <v>19</v>
      </c>
      <c r="L208" s="30" t="s">
        <v>19</v>
      </c>
      <c r="M208" s="30" t="s">
        <v>19</v>
      </c>
      <c r="N208" s="34" t="str">
        <f>IFERROR(__xludf.DUMMYFUNCTION("""COMPUTED_VALUE"""),"MpoxInternational")</f>
        <v>MpoxInternational</v>
      </c>
      <c r="O208" s="29"/>
      <c r="P208" s="29"/>
      <c r="Q208" s="29"/>
      <c r="R208" s="29"/>
      <c r="S208" s="29"/>
      <c r="T208" s="29"/>
      <c r="U208" s="29"/>
      <c r="V208" s="29"/>
      <c r="W208" s="29"/>
      <c r="X208" s="29"/>
      <c r="Y208" s="29"/>
      <c r="Z208" s="29"/>
      <c r="AA208" s="29"/>
      <c r="AB208" s="29"/>
    </row>
    <row r="209">
      <c r="A209" s="29" t="str">
        <f>IFERROR(__xludf.DUMMYFUNCTION("""COMPUTED_VALUE"""),"Taxonomic identification information")</f>
        <v>Taxonomic identification information</v>
      </c>
      <c r="B209" s="29" t="str">
        <f>IFERROR(__xludf.DUMMYFUNCTION("""COMPUTED_VALUE"""),"taxonomic analysis report filename")</f>
        <v>taxonomic analysis report filename</v>
      </c>
      <c r="C209" s="29"/>
      <c r="D209" s="29"/>
      <c r="E209" s="33" t="str">
        <f>IFERROR(__xludf.DUMMYFUNCTION("""COMPUTED_VALUE"""),"GENEPIO:0101074")</f>
        <v>GENEPIO:0101074</v>
      </c>
      <c r="F209" s="29" t="str">
        <f>IFERROR(__xludf.DUMMYFUNCTION("""COMPUTED_VALUE"""),"The filename of the report containing the results of a taxonomic analysis.")</f>
        <v>The filename of the report containing the results of a taxonomic analysis.</v>
      </c>
      <c r="G209" s="29" t="str">
        <f>IFERROR(__xludf.DUMMYFUNCTION("""COMPUTED_VALUE"""),"Provide the filename of the report containing the results of the taxonomic analysis.")</f>
        <v>Provide the filename of the report containing the results of the taxonomic analysis.</v>
      </c>
      <c r="H209" s="29" t="str">
        <f>IFERROR(__xludf.DUMMYFUNCTION("""COMPUTED_VALUE"""),"MPXV_report123.doc")</f>
        <v>MPXV_report123.doc</v>
      </c>
      <c r="I209" s="29"/>
      <c r="J209" s="29"/>
      <c r="K209" s="30" t="s">
        <v>19</v>
      </c>
      <c r="L209" s="30" t="s">
        <v>19</v>
      </c>
      <c r="M209" s="30" t="s">
        <v>19</v>
      </c>
      <c r="N209" s="34" t="str">
        <f>IFERROR(__xludf.DUMMYFUNCTION("""COMPUTED_VALUE"""),"MpoxInternational")</f>
        <v>MpoxInternational</v>
      </c>
      <c r="O209" s="29"/>
      <c r="P209" s="29"/>
      <c r="Q209" s="29"/>
      <c r="R209" s="29"/>
      <c r="S209" s="29"/>
      <c r="T209" s="29"/>
      <c r="U209" s="29"/>
      <c r="V209" s="29"/>
      <c r="W209" s="29"/>
      <c r="X209" s="29"/>
      <c r="Y209" s="29"/>
      <c r="Z209" s="29"/>
      <c r="AA209" s="29"/>
      <c r="AB209" s="29"/>
    </row>
    <row r="210">
      <c r="A210" s="29" t="str">
        <f>IFERROR(__xludf.DUMMYFUNCTION("""COMPUTED_VALUE"""),"Taxonomic identification information")</f>
        <v>Taxonomic identification information</v>
      </c>
      <c r="B210" s="29" t="str">
        <f>IFERROR(__xludf.DUMMYFUNCTION("""COMPUTED_VALUE"""),"taxonomic analysis date")</f>
        <v>taxonomic analysis date</v>
      </c>
      <c r="C210" s="29"/>
      <c r="D210" s="29"/>
      <c r="E210" s="33" t="str">
        <f>IFERROR(__xludf.DUMMYFUNCTION("""COMPUTED_VALUE"""),"GENEPIO:0101075")</f>
        <v>GENEPIO:0101075</v>
      </c>
      <c r="F210" s="29" t="str">
        <f>IFERROR(__xludf.DUMMYFUNCTION("""COMPUTED_VALUE"""),"The date a taxonomic analysis was performed.")</f>
        <v>The date a taxonomic analysis was performed.</v>
      </c>
      <c r="G210" s="29"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10" s="35">
        <f>IFERROR(__xludf.DUMMYFUNCTION("""COMPUTED_VALUE"""),45323.0)</f>
        <v>45323</v>
      </c>
      <c r="I210" s="29"/>
      <c r="J210" s="29"/>
      <c r="K210" s="30" t="s">
        <v>19</v>
      </c>
      <c r="L210" s="30" t="s">
        <v>19</v>
      </c>
      <c r="M210" s="30" t="s">
        <v>19</v>
      </c>
      <c r="N210" s="34" t="str">
        <f>IFERROR(__xludf.DUMMYFUNCTION("""COMPUTED_VALUE"""),"MpoxInternational")</f>
        <v>MpoxInternational</v>
      </c>
      <c r="O210" s="29"/>
      <c r="P210" s="29"/>
      <c r="Q210" s="29"/>
      <c r="R210" s="29"/>
      <c r="S210" s="29"/>
      <c r="T210" s="29"/>
      <c r="U210" s="29"/>
      <c r="V210" s="29"/>
      <c r="W210" s="29"/>
      <c r="X210" s="29"/>
      <c r="Y210" s="29"/>
      <c r="Z210" s="29"/>
      <c r="AA210" s="29"/>
      <c r="AB210" s="29"/>
    </row>
    <row r="211">
      <c r="A211" s="29" t="str">
        <f>IFERROR(__xludf.DUMMYFUNCTION("""COMPUTED_VALUE"""),"Taxonomic identification information")</f>
        <v>Taxonomic identification information</v>
      </c>
      <c r="B211" s="29" t="str">
        <f>IFERROR(__xludf.DUMMYFUNCTION("""COMPUTED_VALUE"""),"read mapping criteria")</f>
        <v>read mapping criteria</v>
      </c>
      <c r="C211" s="29"/>
      <c r="D211" s="29"/>
      <c r="E211" s="33" t="str">
        <f>IFERROR(__xludf.DUMMYFUNCTION("""COMPUTED_VALUE"""),"GENEPIO:0100836")</f>
        <v>GENEPIO:0100836</v>
      </c>
      <c r="F211" s="29" t="str">
        <f>IFERROR(__xludf.DUMMYFUNCTION("""COMPUTED_VALUE"""),"A description of the criteria used to map reads to a reference sequence.")</f>
        <v>A description of the criteria used to map reads to a reference sequence.</v>
      </c>
      <c r="G211" s="29" t="str">
        <f>IFERROR(__xludf.DUMMYFUNCTION("""COMPUTED_VALUE"""),"Provide a description of the read mapping criteria.")</f>
        <v>Provide a description of the read mapping criteria.</v>
      </c>
      <c r="H211" s="29" t="str">
        <f>IFERROR(__xludf.DUMMYFUNCTION("""COMPUTED_VALUE"""),"Phred score &gt;20")</f>
        <v>Phred score &gt;20</v>
      </c>
      <c r="I211" s="29"/>
      <c r="J211" s="29"/>
      <c r="K211" s="30" t="s">
        <v>19</v>
      </c>
      <c r="L211" s="30" t="s">
        <v>19</v>
      </c>
      <c r="M211" s="30" t="s">
        <v>19</v>
      </c>
      <c r="N211" s="34" t="str">
        <f>IFERROR(__xludf.DUMMYFUNCTION("""COMPUTED_VALUE"""),"MpoxInternational")</f>
        <v>MpoxInternational</v>
      </c>
      <c r="O211" s="29"/>
      <c r="P211" s="29"/>
      <c r="Q211" s="29"/>
      <c r="R211" s="29"/>
      <c r="S211" s="29"/>
      <c r="T211" s="29"/>
      <c r="U211" s="29"/>
      <c r="V211" s="29"/>
      <c r="W211" s="29"/>
      <c r="X211" s="29"/>
      <c r="Y211" s="29"/>
      <c r="Z211" s="29"/>
      <c r="AA211" s="29"/>
      <c r="AB211" s="29"/>
    </row>
    <row r="212">
      <c r="A212" s="29"/>
      <c r="B212" s="29" t="str">
        <f>IFERROR(__xludf.DUMMYFUNCTION("""COMPUTED_VALUE"""),"Pathogen diagnostic testing")</f>
        <v>Pathogen diagnostic testing</v>
      </c>
      <c r="C212" s="29" t="str">
        <f>IFERROR(__xludf.DUMMYFUNCTION("""COMPUTED_VALUE"""),"")</f>
        <v/>
      </c>
      <c r="D212" s="29" t="str">
        <f>IFERROR(__xludf.DUMMYFUNCTION("""COMPUTED_VALUE"""),"")</f>
        <v/>
      </c>
      <c r="E212" s="29" t="str">
        <f>IFERROR(__xludf.DUMMYFUNCTION("""COMPUTED_VALUE"""),"GENEPIO:0001506")</f>
        <v>GENEPIO:0001506</v>
      </c>
      <c r="F212" s="29"/>
      <c r="G212" s="29"/>
      <c r="H212" s="29"/>
      <c r="I212" s="29"/>
      <c r="J212" s="29"/>
      <c r="K212" s="30"/>
      <c r="L212" s="30"/>
      <c r="M212" s="30"/>
      <c r="N212" s="34" t="str">
        <f>IFERROR(__xludf.DUMMYFUNCTION("""COMPUTED_VALUE"""),"Mpox;MpoxInternational")</f>
        <v>Mpox;MpoxInternational</v>
      </c>
      <c r="O212" s="29"/>
      <c r="P212" s="29"/>
      <c r="Q212" s="29"/>
      <c r="R212" s="29"/>
      <c r="S212" s="29"/>
      <c r="T212" s="29"/>
      <c r="U212" s="29"/>
      <c r="V212" s="29"/>
      <c r="W212" s="29"/>
      <c r="X212" s="29"/>
      <c r="Y212" s="29"/>
      <c r="Z212" s="29"/>
      <c r="AA212" s="29"/>
      <c r="AB212" s="29"/>
    </row>
    <row r="213">
      <c r="A213" s="29" t="str">
        <f>IFERROR(__xludf.DUMMYFUNCTION("""COMPUTED_VALUE"""),"Pathogen diagnostic testing")</f>
        <v>Pathogen diagnostic testing</v>
      </c>
      <c r="B213" s="29" t="str">
        <f>IFERROR(__xludf.DUMMYFUNCTION("""COMPUTED_VALUE"""),"assay target name 1")</f>
        <v>assay target name 1</v>
      </c>
      <c r="C213" s="29"/>
      <c r="D213" s="29"/>
      <c r="E213" s="33" t="str">
        <f>IFERROR(__xludf.DUMMYFUNCTION("""COMPUTED_VALUE"""),"GENEPIO:0102052")</f>
        <v>GENEPIO:0102052</v>
      </c>
      <c r="F213" s="29" t="str">
        <f>IFERROR(__xludf.DUMMYFUNCTION("""COMPUTED_VALUE"""),"The name of the assay target used in the diagnostic RT-PCR test.")</f>
        <v>The name of the assay target used in the diagnostic RT-PCR test.</v>
      </c>
      <c r="G213" s="29"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13" s="29" t="str">
        <f>IFERROR(__xludf.DUMMYFUNCTION("""COMPUTED_VALUE"""),"MPX (orf B6R)")</f>
        <v>MPX (orf B6R)</v>
      </c>
      <c r="I213" s="29"/>
      <c r="J213" s="29"/>
      <c r="K213" s="30" t="s">
        <v>23</v>
      </c>
      <c r="L213" s="30" t="s">
        <v>22</v>
      </c>
      <c r="M213" s="30" t="s">
        <v>23</v>
      </c>
      <c r="N213" s="34" t="str">
        <f>IFERROR(__xludf.DUMMYFUNCTION("""COMPUTED_VALUE"""),"MpoxInternational")</f>
        <v>MpoxInternational</v>
      </c>
      <c r="O213" s="29"/>
      <c r="P213" s="29"/>
      <c r="Q213" s="29"/>
      <c r="R213" s="29"/>
      <c r="S213" s="29"/>
      <c r="T213" s="29"/>
      <c r="U213" s="29"/>
      <c r="V213" s="29"/>
      <c r="W213" s="29"/>
      <c r="X213" s="29"/>
      <c r="Y213" s="29"/>
      <c r="Z213" s="29"/>
      <c r="AA213" s="29"/>
      <c r="AB213" s="29"/>
    </row>
    <row r="214">
      <c r="A214" s="29" t="str">
        <f>IFERROR(__xludf.DUMMYFUNCTION("""COMPUTED_VALUE"""),"Pathogen diagnostic testing")</f>
        <v>Pathogen diagnostic testing</v>
      </c>
      <c r="B214" s="29" t="str">
        <f>IFERROR(__xludf.DUMMYFUNCTION("""COMPUTED_VALUE"""),"assay target details 1")</f>
        <v>assay target details 1</v>
      </c>
      <c r="C214" s="29"/>
      <c r="D214" s="29"/>
      <c r="E214" s="33" t="str">
        <f>IFERROR(__xludf.DUMMYFUNCTION("""COMPUTED_VALUE"""),"GENEPIO:0102045")</f>
        <v>GENEPIO:0102045</v>
      </c>
      <c r="F214" s="29" t="str">
        <f>IFERROR(__xludf.DUMMYFUNCTION("""COMPUTED_VALUE"""),"Describe any details of the assay target.")</f>
        <v>Describe any details of the assay target.</v>
      </c>
      <c r="G214" s="29" t="str">
        <f>IFERROR(__xludf.DUMMYFUNCTION("""COMPUTED_VALUE"""),"Provide details that are applicable to the assay used for the diagnostic test. ")</f>
        <v>Provide details that are applicable to the assay used for the diagnostic test. </v>
      </c>
      <c r="H214" s="29"/>
      <c r="I214" s="29"/>
      <c r="J214" s="29"/>
      <c r="K214" s="30" t="s">
        <v>23</v>
      </c>
      <c r="L214" s="30" t="s">
        <v>23</v>
      </c>
      <c r="M214" s="30" t="s">
        <v>23</v>
      </c>
      <c r="N214" s="34" t="str">
        <f>IFERROR(__xludf.DUMMYFUNCTION("""COMPUTED_VALUE"""),"MpoxInternational")</f>
        <v>MpoxInternational</v>
      </c>
      <c r="O214" s="29"/>
      <c r="P214" s="29"/>
      <c r="Q214" s="29"/>
      <c r="R214" s="29"/>
      <c r="S214" s="29"/>
      <c r="T214" s="29"/>
      <c r="U214" s="29"/>
      <c r="V214" s="29"/>
      <c r="W214" s="29"/>
      <c r="X214" s="29"/>
      <c r="Y214" s="29"/>
      <c r="Z214" s="29"/>
      <c r="AA214" s="29"/>
      <c r="AB214" s="29"/>
    </row>
    <row r="215">
      <c r="A215" s="29" t="str">
        <f>IFERROR(__xludf.DUMMYFUNCTION("""COMPUTED_VALUE"""),"Pathogen diagnostic testing")</f>
        <v>Pathogen diagnostic testing</v>
      </c>
      <c r="B215" s="29" t="str">
        <f>IFERROR(__xludf.DUMMYFUNCTION("""COMPUTED_VALUE"""),"gene name 1")</f>
        <v>gene name 1</v>
      </c>
      <c r="C215" s="29" t="str">
        <f>IFERROR(__xludf.DUMMYFUNCTION("""COMPUTED_VALUE"""),"")</f>
        <v/>
      </c>
      <c r="D215" s="29" t="str">
        <f>IFERROR(__xludf.DUMMYFUNCTION("""COMPUTED_VALUE"""),"")</f>
        <v/>
      </c>
      <c r="E215" s="29" t="str">
        <f>IFERROR(__xludf.DUMMYFUNCTION("""COMPUTED_VALUE"""),"GENEPIO:0001507")</f>
        <v>GENEPIO:0001507</v>
      </c>
      <c r="F215" s="29" t="str">
        <f>IFERROR(__xludf.DUMMYFUNCTION("""COMPUTED_VALUE"""),"The name of the gene used in the diagnostic RT-PCR test.")</f>
        <v>The name of the gene used in the diagnostic RT-PCR test.</v>
      </c>
      <c r="G215" s="29" t="str">
        <f>IFERROR(__xludf.DUMMYFUNCTION("""COMPUTED_VALUE"""),"Select the name of the gene used for the diagnostic PCR from the standardized pick list.")</f>
        <v>Select the name of the gene used for the diagnostic PCR from the standardized pick list.</v>
      </c>
      <c r="H215" s="29" t="str">
        <f>IFERROR(__xludf.DUMMYFUNCTION("""COMPUTED_VALUE"""),"MPX (orf B6R)")</f>
        <v>MPX (orf B6R)</v>
      </c>
      <c r="I215" s="29"/>
      <c r="J215" s="29"/>
      <c r="K215" s="30" t="s">
        <v>19</v>
      </c>
      <c r="L215" s="30" t="s">
        <v>19</v>
      </c>
      <c r="M215" s="30" t="s">
        <v>19</v>
      </c>
      <c r="N215" s="34" t="str">
        <f>IFERROR(__xludf.DUMMYFUNCTION("""COMPUTED_VALUE"""),"Mpox")</f>
        <v>Mpox</v>
      </c>
      <c r="O215" s="29"/>
      <c r="P215" s="29"/>
      <c r="Q215" s="29"/>
      <c r="R215" s="29"/>
      <c r="S215" s="29"/>
      <c r="T215" s="29"/>
      <c r="U215" s="29"/>
      <c r="V215" s="29"/>
      <c r="W215" s="29"/>
      <c r="X215" s="29"/>
      <c r="Y215" s="29"/>
      <c r="Z215" s="29"/>
      <c r="AA215" s="29"/>
      <c r="AB215" s="29"/>
    </row>
    <row r="216">
      <c r="A216" s="29" t="str">
        <f>IFERROR(__xludf.DUMMYFUNCTION("""COMPUTED_VALUE"""),"Pathogen diagnostic testing")</f>
        <v>Pathogen diagnostic testing</v>
      </c>
      <c r="B216" s="29" t="str">
        <f>IFERROR(__xludf.DUMMYFUNCTION("""COMPUTED_VALUE"""),"gene symbol 1")</f>
        <v>gene symbol 1</v>
      </c>
      <c r="C216" s="29" t="str">
        <f>IFERROR(__xludf.DUMMYFUNCTION("""COMPUTED_VALUE"""),"")</f>
        <v/>
      </c>
      <c r="D216" s="29" t="str">
        <f>IFERROR(__xludf.DUMMYFUNCTION("""COMPUTED_VALUE"""),"")</f>
        <v/>
      </c>
      <c r="E216" s="33" t="str">
        <f>IFERROR(__xludf.DUMMYFUNCTION("""COMPUTED_VALUE"""),"GENEPIO:0102041")</f>
        <v>GENEPIO:0102041</v>
      </c>
      <c r="F216" s="29" t="str">
        <f>IFERROR(__xludf.DUMMYFUNCTION("""COMPUTED_VALUE"""),"The gene symbol used in the diagnostic RT-PCR test. ")</f>
        <v>The gene symbol used in the diagnostic RT-PCR test. </v>
      </c>
      <c r="G216" s="29"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16" s="29" t="str">
        <f>IFERROR(__xludf.DUMMYFUNCTION("""COMPUTED_VALUE"""),"opg190 gene (MPOX)")</f>
        <v>opg190 gene (MPOX)</v>
      </c>
      <c r="I216" s="29"/>
      <c r="J216" s="29"/>
      <c r="K216" s="30" t="s">
        <v>23</v>
      </c>
      <c r="L216" s="30" t="s">
        <v>23</v>
      </c>
      <c r="M216" s="30" t="s">
        <v>23</v>
      </c>
      <c r="N216" s="34" t="str">
        <f>IFERROR(__xludf.DUMMYFUNCTION("""COMPUTED_VALUE"""),"MpoxInternational")</f>
        <v>MpoxInternational</v>
      </c>
      <c r="O216" s="29"/>
      <c r="P216" s="29"/>
      <c r="Q216" s="29"/>
      <c r="R216" s="29"/>
      <c r="S216" s="29"/>
      <c r="T216" s="29"/>
      <c r="U216" s="29"/>
      <c r="V216" s="29"/>
      <c r="W216" s="29"/>
      <c r="X216" s="29"/>
      <c r="Y216" s="29"/>
      <c r="Z216" s="29"/>
      <c r="AA216" s="29"/>
      <c r="AB216" s="29"/>
    </row>
    <row r="217">
      <c r="A217" s="29" t="str">
        <f>IFERROR(__xludf.DUMMYFUNCTION("""COMPUTED_VALUE"""),"Pathogen diagnostic testing")</f>
        <v>Pathogen diagnostic testing</v>
      </c>
      <c r="B217" s="29" t="str">
        <f>IFERROR(__xludf.DUMMYFUNCTION("""COMPUTED_VALUE"""),"diagnostic pcr protocol 1")</f>
        <v>diagnostic pcr protocol 1</v>
      </c>
      <c r="C217" s="29"/>
      <c r="D217" s="29"/>
      <c r="E217" s="29" t="str">
        <f>IFERROR(__xludf.DUMMYFUNCTION("""COMPUTED_VALUE"""),"GENEPIO:0001508")</f>
        <v>GENEPIO:0001508</v>
      </c>
      <c r="F217" s="29" t="str">
        <f>IFERROR(__xludf.DUMMYFUNCTION("""COMPUTED_VALUE"""),"The name and version number of the protocol used for diagnostic marker amplification.")</f>
        <v>The name and version number of the protocol used for diagnostic marker amplification.</v>
      </c>
      <c r="G217" s="29"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17" s="29" t="str">
        <f>IFERROR(__xludf.DUMMYFUNCTION("""COMPUTED_VALUE"""),"B6R (Li et al., 2006)")</f>
        <v>B6R (Li et al., 2006)</v>
      </c>
      <c r="I217" s="29"/>
      <c r="J217" s="29"/>
      <c r="K217" s="30" t="s">
        <v>23</v>
      </c>
      <c r="L217" s="30" t="s">
        <v>23</v>
      </c>
      <c r="M217" s="30" t="s">
        <v>23</v>
      </c>
      <c r="N217" s="37" t="str">
        <f>IFERROR(__xludf.DUMMYFUNCTION("""COMPUTED_VALUE"""),"MpoxInternational")</f>
        <v>MpoxInternational</v>
      </c>
      <c r="O217" s="29"/>
      <c r="P217" s="29"/>
      <c r="Q217" s="29"/>
      <c r="R217" s="29"/>
      <c r="S217" s="29"/>
      <c r="T217" s="29"/>
      <c r="U217" s="29"/>
      <c r="V217" s="29"/>
      <c r="W217" s="29"/>
      <c r="X217" s="29"/>
      <c r="Y217" s="29"/>
      <c r="Z217" s="29"/>
      <c r="AA217" s="29"/>
      <c r="AB217" s="29"/>
    </row>
    <row r="218">
      <c r="A218" s="29" t="str">
        <f>IFERROR(__xludf.DUMMYFUNCTION("""COMPUTED_VALUE"""),"Pathogen diagnostic testing")</f>
        <v>Pathogen diagnostic testing</v>
      </c>
      <c r="B218" s="29" t="str">
        <f>IFERROR(__xludf.DUMMYFUNCTION("""COMPUTED_VALUE"""),"diagnostic pcr Ct value 1")</f>
        <v>diagnostic pcr Ct value 1</v>
      </c>
      <c r="C218" s="29" t="str">
        <f>IFERROR(__xludf.DUMMYFUNCTION("""COMPUTED_VALUE"""),"")</f>
        <v/>
      </c>
      <c r="D218" s="29" t="str">
        <f>IFERROR(__xludf.DUMMYFUNCTION("""COMPUTED_VALUE"""),"")</f>
        <v/>
      </c>
      <c r="E218" s="29" t="str">
        <f>IFERROR(__xludf.DUMMYFUNCTION("""COMPUTED_VALUE"""),"GENEPIO:0001509")</f>
        <v>GENEPIO:0001509</v>
      </c>
      <c r="F218" s="29" t="str">
        <f>IFERROR(__xludf.DUMMYFUNCTION("""COMPUTED_VALUE"""),"The Ct value result from a diagnostic SARS-CoV-2 RT-PCR test.")</f>
        <v>The Ct value result from a diagnostic SARS-CoV-2 RT-PCR test.</v>
      </c>
      <c r="G218" s="29" t="str">
        <f>IFERROR(__xludf.DUMMYFUNCTION("""COMPUTED_VALUE"""),"Provide the CT value of the sample from the diagnostic RT-PCR test.")</f>
        <v>Provide the CT value of the sample from the diagnostic RT-PCR test.</v>
      </c>
      <c r="H218" s="29">
        <f>IFERROR(__xludf.DUMMYFUNCTION("""COMPUTED_VALUE"""),21.0)</f>
        <v>21</v>
      </c>
      <c r="I218" s="29"/>
      <c r="J218" s="29"/>
      <c r="K218" s="30" t="s">
        <v>19</v>
      </c>
      <c r="L218" s="30" t="s">
        <v>19</v>
      </c>
      <c r="M218" s="30" t="s">
        <v>19</v>
      </c>
      <c r="N218" s="40" t="str">
        <f>IFERROR(__xludf.DUMMYFUNCTION("""COMPUTED_VALUE"""),"Mpox;MpoxInternational")</f>
        <v>Mpox;MpoxInternational</v>
      </c>
      <c r="O218" s="29"/>
      <c r="P218" s="29"/>
      <c r="Q218" s="29"/>
      <c r="R218" s="29"/>
      <c r="S218" s="29"/>
      <c r="T218" s="29"/>
      <c r="U218" s="29"/>
      <c r="V218" s="29"/>
      <c r="W218" s="29"/>
      <c r="X218" s="29"/>
      <c r="Y218" s="29"/>
      <c r="Z218" s="29"/>
      <c r="AA218" s="29"/>
      <c r="AB218" s="29"/>
    </row>
    <row r="219">
      <c r="A219" s="29" t="str">
        <f>IFERROR(__xludf.DUMMYFUNCTION("""COMPUTED_VALUE"""),"Pathogen diagnostic testing")</f>
        <v>Pathogen diagnostic testing</v>
      </c>
      <c r="B219" s="29" t="str">
        <f>IFERROR(__xludf.DUMMYFUNCTION("""COMPUTED_VALUE"""),"assay target name 2")</f>
        <v>assay target name 2</v>
      </c>
      <c r="C219" s="29"/>
      <c r="D219" s="29"/>
      <c r="E219" s="29" t="str">
        <f>IFERROR(__xludf.DUMMYFUNCTION("""COMPUTED_VALUE"""),"GENEPIO:0102038")</f>
        <v>GENEPIO:0102038</v>
      </c>
      <c r="F219" s="29" t="str">
        <f>IFERROR(__xludf.DUMMYFUNCTION("""COMPUTED_VALUE"""),"The name of the assay target used in the diagnostic RT-PCR test.")</f>
        <v>The name of the assay target used in the diagnostic RT-PCR test.</v>
      </c>
      <c r="G219" s="29"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19" s="29" t="str">
        <f>IFERROR(__xludf.DUMMYFUNCTION("""COMPUTED_VALUE"""),"OVP (orf 17L)")</f>
        <v>OVP (orf 17L)</v>
      </c>
      <c r="I219" s="29"/>
      <c r="J219" s="29"/>
      <c r="K219" s="30" t="s">
        <v>23</v>
      </c>
      <c r="L219" s="30" t="s">
        <v>23</v>
      </c>
      <c r="M219" s="30" t="s">
        <v>23</v>
      </c>
      <c r="N219" s="31" t="str">
        <f>IFERROR(__xludf.DUMMYFUNCTION("""COMPUTED_VALUE"""),"MpoxInternational")</f>
        <v>MpoxInternational</v>
      </c>
      <c r="O219" s="29"/>
      <c r="P219" s="29"/>
      <c r="Q219" s="29"/>
      <c r="R219" s="29"/>
      <c r="S219" s="29"/>
      <c r="T219" s="29"/>
      <c r="U219" s="29"/>
      <c r="V219" s="29"/>
      <c r="W219" s="29"/>
      <c r="X219" s="29"/>
      <c r="Y219" s="29"/>
      <c r="Z219" s="29"/>
      <c r="AA219" s="29"/>
      <c r="AB219" s="29"/>
    </row>
    <row r="220">
      <c r="A220" s="29" t="str">
        <f>IFERROR(__xludf.DUMMYFUNCTION("""COMPUTED_VALUE"""),"Pathogen diagnostic testing")</f>
        <v>Pathogen diagnostic testing</v>
      </c>
      <c r="B220" s="29" t="str">
        <f>IFERROR(__xludf.DUMMYFUNCTION("""COMPUTED_VALUE"""),"assay target details 2")</f>
        <v>assay target details 2</v>
      </c>
      <c r="C220" s="29"/>
      <c r="D220" s="29"/>
      <c r="E220" s="33" t="str">
        <f>IFERROR(__xludf.DUMMYFUNCTION("""COMPUTED_VALUE"""),"GENEPIO:0102046")</f>
        <v>GENEPIO:0102046</v>
      </c>
      <c r="F220" s="29" t="str">
        <f>IFERROR(__xludf.DUMMYFUNCTION("""COMPUTED_VALUE"""),"Describe any details of the assay target.")</f>
        <v>Describe any details of the assay target.</v>
      </c>
      <c r="G220" s="29" t="str">
        <f>IFERROR(__xludf.DUMMYFUNCTION("""COMPUTED_VALUE"""),"Provide details that are applicable to the assay used for the diagnostic test. ")</f>
        <v>Provide details that are applicable to the assay used for the diagnostic test. </v>
      </c>
      <c r="H220" s="29"/>
      <c r="I220" s="29"/>
      <c r="J220" s="29"/>
      <c r="K220" s="30" t="s">
        <v>23</v>
      </c>
      <c r="L220" s="30" t="s">
        <v>23</v>
      </c>
      <c r="M220" s="30" t="s">
        <v>23</v>
      </c>
      <c r="N220" s="31" t="str">
        <f>IFERROR(__xludf.DUMMYFUNCTION("""COMPUTED_VALUE"""),"MpoxInternational")</f>
        <v>MpoxInternational</v>
      </c>
      <c r="O220" s="29"/>
      <c r="P220" s="29"/>
      <c r="Q220" s="29"/>
      <c r="R220" s="29"/>
      <c r="S220" s="29"/>
      <c r="T220" s="29"/>
      <c r="U220" s="29"/>
      <c r="V220" s="29"/>
      <c r="W220" s="29"/>
      <c r="X220" s="29"/>
      <c r="Y220" s="29"/>
      <c r="Z220" s="29"/>
      <c r="AA220" s="29"/>
      <c r="AB220" s="29"/>
    </row>
    <row r="221">
      <c r="A221" s="29" t="str">
        <f>IFERROR(__xludf.DUMMYFUNCTION("""COMPUTED_VALUE"""),"Pathogen diagnostic testing")</f>
        <v>Pathogen diagnostic testing</v>
      </c>
      <c r="B221" s="29" t="str">
        <f>IFERROR(__xludf.DUMMYFUNCTION("""COMPUTED_VALUE"""),"gene name 2")</f>
        <v>gene name 2</v>
      </c>
      <c r="C221" s="29" t="str">
        <f>IFERROR(__xludf.DUMMYFUNCTION("""COMPUTED_VALUE"""),"")</f>
        <v/>
      </c>
      <c r="D221" s="29" t="str">
        <f>IFERROR(__xludf.DUMMYFUNCTION("""COMPUTED_VALUE"""),"")</f>
        <v/>
      </c>
      <c r="E221" s="29" t="str">
        <f>IFERROR(__xludf.DUMMYFUNCTION("""COMPUTED_VALUE"""),"GENEPIO:0001510")</f>
        <v>GENEPIO:0001510</v>
      </c>
      <c r="F221" s="29" t="str">
        <f>IFERROR(__xludf.DUMMYFUNCTION("""COMPUTED_VALUE"""),"The name of the gene used in the diagnostic RT-PCR test.")</f>
        <v>The name of the gene used in the diagnostic RT-PCR test.</v>
      </c>
      <c r="G221" s="29" t="str">
        <f>IFERROR(__xludf.DUMMYFUNCTION("""COMPUTED_VALUE"""),"Select the name of the gene used for the diagnostic PCR from the standardized pick list.")</f>
        <v>Select the name of the gene used for the diagnostic PCR from the standardized pick list.</v>
      </c>
      <c r="H221" s="29" t="str">
        <f>IFERROR(__xludf.DUMMYFUNCTION("""COMPUTED_VALUE"""),"OVP (orf 17L)")</f>
        <v>OVP (orf 17L)</v>
      </c>
      <c r="I221" s="29"/>
      <c r="J221" s="29"/>
      <c r="K221" s="30" t="s">
        <v>19</v>
      </c>
      <c r="L221" s="30" t="s">
        <v>19</v>
      </c>
      <c r="M221" s="30" t="s">
        <v>19</v>
      </c>
      <c r="N221" s="29" t="str">
        <f>IFERROR(__xludf.DUMMYFUNCTION("""COMPUTED_VALUE"""),"Mpox")</f>
        <v>Mpox</v>
      </c>
      <c r="O221" s="29"/>
      <c r="P221" s="29"/>
      <c r="Q221" s="29"/>
      <c r="R221" s="29"/>
      <c r="S221" s="29"/>
      <c r="T221" s="29"/>
      <c r="U221" s="29"/>
      <c r="V221" s="29"/>
      <c r="W221" s="29"/>
      <c r="X221" s="29"/>
      <c r="Y221" s="29"/>
      <c r="Z221" s="29"/>
      <c r="AA221" s="29"/>
      <c r="AB221" s="29"/>
    </row>
    <row r="222">
      <c r="A222" s="29" t="str">
        <f>IFERROR(__xludf.DUMMYFUNCTION("""COMPUTED_VALUE"""),"Pathogen diagnostic testing")</f>
        <v>Pathogen diagnostic testing</v>
      </c>
      <c r="B222" s="29" t="str">
        <f>IFERROR(__xludf.DUMMYFUNCTION("""COMPUTED_VALUE"""),"gene symbol 2")</f>
        <v>gene symbol 2</v>
      </c>
      <c r="C222" s="29" t="str">
        <f>IFERROR(__xludf.DUMMYFUNCTION("""COMPUTED_VALUE"""),"")</f>
        <v/>
      </c>
      <c r="D222" s="29" t="str">
        <f>IFERROR(__xludf.DUMMYFUNCTION("""COMPUTED_VALUE"""),"")</f>
        <v/>
      </c>
      <c r="E222" s="29" t="str">
        <f>IFERROR(__xludf.DUMMYFUNCTION("""COMPUTED_VALUE"""),"GENEPIO:0102042")</f>
        <v>GENEPIO:0102042</v>
      </c>
      <c r="F222" s="29" t="str">
        <f>IFERROR(__xludf.DUMMYFUNCTION("""COMPUTED_VALUE"""),"The gene symbol used in the diagnostic RT-PCR test. ")</f>
        <v>The gene symbol used in the diagnostic RT-PCR test. </v>
      </c>
      <c r="G222" s="29"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22" s="29" t="str">
        <f>IFERROR(__xludf.DUMMYFUNCTION("""COMPUTED_VALUE"""),"opg002 gene (MPOX)")</f>
        <v>opg002 gene (MPOX)</v>
      </c>
      <c r="I222" s="29"/>
      <c r="J222" s="29"/>
      <c r="K222" s="30" t="s">
        <v>23</v>
      </c>
      <c r="L222" s="30" t="s">
        <v>23</v>
      </c>
      <c r="M222" s="30" t="s">
        <v>23</v>
      </c>
      <c r="N222" s="29" t="str">
        <f>IFERROR(__xludf.DUMMYFUNCTION("""COMPUTED_VALUE"""),"MpoxInternational")</f>
        <v>MpoxInternational</v>
      </c>
      <c r="O222" s="29"/>
      <c r="P222" s="29"/>
      <c r="Q222" s="29"/>
      <c r="R222" s="29"/>
      <c r="S222" s="29"/>
      <c r="T222" s="29"/>
      <c r="U222" s="29"/>
      <c r="V222" s="29"/>
      <c r="W222" s="29"/>
      <c r="X222" s="29"/>
      <c r="Y222" s="29"/>
      <c r="Z222" s="29"/>
      <c r="AA222" s="29"/>
      <c r="AB222" s="29"/>
    </row>
    <row r="223">
      <c r="A223" s="29" t="str">
        <f>IFERROR(__xludf.DUMMYFUNCTION("""COMPUTED_VALUE"""),"Pathogen diagnostic testing")</f>
        <v>Pathogen diagnostic testing</v>
      </c>
      <c r="B223" s="29" t="str">
        <f>IFERROR(__xludf.DUMMYFUNCTION("""COMPUTED_VALUE"""),"diagnostic pcr protocol 2")</f>
        <v>diagnostic pcr protocol 2</v>
      </c>
      <c r="C223" s="29"/>
      <c r="D223" s="29"/>
      <c r="E223" s="29" t="str">
        <f>IFERROR(__xludf.DUMMYFUNCTION("""COMPUTED_VALUE"""),"GENEPIO:0001511")</f>
        <v>GENEPIO:0001511</v>
      </c>
      <c r="F223" s="29" t="str">
        <f>IFERROR(__xludf.DUMMYFUNCTION("""COMPUTED_VALUE"""),"The name and version number of the protocol used for diagnostic marker amplification.")</f>
        <v>The name and version number of the protocol used for diagnostic marker amplification.</v>
      </c>
      <c r="G223" s="29"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3" s="29" t="str">
        <f>IFERROR(__xludf.DUMMYFUNCTION("""COMPUTED_VALUE"""),"G2R (Li et al., 2010) assays (includes G2R_WA, C3L, and G2R_G).")</f>
        <v>G2R (Li et al., 2010) assays (includes G2R_WA, C3L, and G2R_G).</v>
      </c>
      <c r="I223" s="29"/>
      <c r="J223" s="29"/>
      <c r="K223" s="30" t="s">
        <v>19</v>
      </c>
      <c r="L223" s="30" t="s">
        <v>19</v>
      </c>
      <c r="M223" s="30" t="s">
        <v>19</v>
      </c>
      <c r="N223" s="29" t="str">
        <f>IFERROR(__xludf.DUMMYFUNCTION("""COMPUTED_VALUE"""),"MpoxInternational")</f>
        <v>MpoxInternational</v>
      </c>
      <c r="O223" s="29"/>
      <c r="P223" s="29"/>
      <c r="Q223" s="29"/>
      <c r="R223" s="29"/>
      <c r="S223" s="29"/>
      <c r="T223" s="29"/>
      <c r="U223" s="29"/>
      <c r="V223" s="29"/>
      <c r="W223" s="29"/>
      <c r="X223" s="29"/>
      <c r="Y223" s="29"/>
      <c r="Z223" s="29"/>
      <c r="AA223" s="29"/>
      <c r="AB223" s="29"/>
    </row>
    <row r="224">
      <c r="A224" s="29" t="str">
        <f>IFERROR(__xludf.DUMMYFUNCTION("""COMPUTED_VALUE"""),"Pathogen diagnostic testing")</f>
        <v>Pathogen diagnostic testing</v>
      </c>
      <c r="B224" s="29" t="str">
        <f>IFERROR(__xludf.DUMMYFUNCTION("""COMPUTED_VALUE"""),"diagnostic pcr Ct value 2")</f>
        <v>diagnostic pcr Ct value 2</v>
      </c>
      <c r="C224" s="29" t="str">
        <f>IFERROR(__xludf.DUMMYFUNCTION("""COMPUTED_VALUE"""),"")</f>
        <v/>
      </c>
      <c r="D224" s="29" t="str">
        <f>IFERROR(__xludf.DUMMYFUNCTION("""COMPUTED_VALUE"""),"")</f>
        <v/>
      </c>
      <c r="E224" s="29" t="str">
        <f>IFERROR(__xludf.DUMMYFUNCTION("""COMPUTED_VALUE"""),"GENEPIO:0001512")</f>
        <v>GENEPIO:0001512</v>
      </c>
      <c r="F224" s="29" t="str">
        <f>IFERROR(__xludf.DUMMYFUNCTION("""COMPUTED_VALUE"""),"The Ct value result from a diagnostic SARS-CoV-2 RT-PCR test.")</f>
        <v>The Ct value result from a diagnostic SARS-CoV-2 RT-PCR test.</v>
      </c>
      <c r="G224" s="29" t="str">
        <f>IFERROR(__xludf.DUMMYFUNCTION("""COMPUTED_VALUE"""),"Provide the CT value of the sample from the second diagnostic RT-PCR test.")</f>
        <v>Provide the CT value of the sample from the second diagnostic RT-PCR test.</v>
      </c>
      <c r="H224" s="29">
        <f>IFERROR(__xludf.DUMMYFUNCTION("""COMPUTED_VALUE"""),36.0)</f>
        <v>36</v>
      </c>
      <c r="I224" s="29"/>
      <c r="J224" s="29"/>
      <c r="K224" s="30" t="s">
        <v>19</v>
      </c>
      <c r="L224" s="30" t="s">
        <v>19</v>
      </c>
      <c r="M224" s="30" t="s">
        <v>19</v>
      </c>
      <c r="N224" s="29" t="str">
        <f>IFERROR(__xludf.DUMMYFUNCTION("""COMPUTED_VALUE"""),"Mpox;MpoxInternational")</f>
        <v>Mpox;MpoxInternational</v>
      </c>
      <c r="O224" s="29"/>
      <c r="P224" s="29"/>
      <c r="Q224" s="29"/>
      <c r="R224" s="29"/>
      <c r="S224" s="29"/>
      <c r="T224" s="29"/>
      <c r="U224" s="29"/>
      <c r="V224" s="29"/>
      <c r="W224" s="29"/>
      <c r="X224" s="29"/>
      <c r="Y224" s="29"/>
      <c r="Z224" s="29"/>
      <c r="AA224" s="29"/>
      <c r="AB224" s="29"/>
    </row>
    <row r="225">
      <c r="A225" s="29" t="str">
        <f>IFERROR(__xludf.DUMMYFUNCTION("""COMPUTED_VALUE"""),"Pathogen diagnostic testing")</f>
        <v>Pathogen diagnostic testing</v>
      </c>
      <c r="B225" s="29" t="str">
        <f>IFERROR(__xludf.DUMMYFUNCTION("""COMPUTED_VALUE"""),"assay target name 3")</f>
        <v>assay target name 3</v>
      </c>
      <c r="C225" s="29"/>
      <c r="D225" s="29"/>
      <c r="E225" s="29" t="str">
        <f>IFERROR(__xludf.DUMMYFUNCTION("""COMPUTED_VALUE"""),"GENEPIO:0102039")</f>
        <v>GENEPIO:0102039</v>
      </c>
      <c r="F225" s="29" t="str">
        <f>IFERROR(__xludf.DUMMYFUNCTION("""COMPUTED_VALUE"""),"The name of the assay target used in the diagnostic RT-PCR test.")</f>
        <v>The name of the assay target used in the diagnostic RT-PCR test.</v>
      </c>
      <c r="G225" s="29" t="str">
        <f>IFERROR(__xludf.DUMMYFUNCTION("""COMPUTED_VALUE"""),"The specific genomic region, sequence, or variant targeted by the assay in a diagnostic test. This may include parts of a gene, non-coding regions, or other genetic elements that serve as a marker for detecting the presence of a pathogen or other relevant"&amp;" entities.")</f>
        <v>The specific genomic region, sequence, or variant targeted by the assay in a diagnostic test. This may include parts of a gene, non-coding regions, or other genetic elements that serve as a marker for detecting the presence of a pathogen or other relevant entities.</v>
      </c>
      <c r="H225" s="29" t="str">
        <f>IFERROR(__xludf.DUMMYFUNCTION("""COMPUTED_VALUE"""),"OPHA (orf B2R)")</f>
        <v>OPHA (orf B2R)</v>
      </c>
      <c r="I225" s="29"/>
      <c r="J225" s="29"/>
      <c r="K225" s="30" t="s">
        <v>23</v>
      </c>
      <c r="L225" s="30" t="s">
        <v>23</v>
      </c>
      <c r="M225" s="30" t="s">
        <v>23</v>
      </c>
      <c r="N225" s="29" t="str">
        <f>IFERROR(__xludf.DUMMYFUNCTION("""COMPUTED_VALUE"""),"MpoxInternational")</f>
        <v>MpoxInternational</v>
      </c>
      <c r="O225" s="29"/>
      <c r="P225" s="29"/>
      <c r="Q225" s="29"/>
      <c r="R225" s="29"/>
      <c r="S225" s="29"/>
      <c r="T225" s="29"/>
      <c r="U225" s="29"/>
      <c r="V225" s="29"/>
      <c r="W225" s="29"/>
      <c r="X225" s="29"/>
      <c r="Y225" s="29"/>
      <c r="Z225" s="29"/>
      <c r="AA225" s="29"/>
      <c r="AB225" s="29"/>
    </row>
    <row r="226">
      <c r="A226" s="29" t="str">
        <f>IFERROR(__xludf.DUMMYFUNCTION("""COMPUTED_VALUE"""),"Pathogen diagnostic testing")</f>
        <v>Pathogen diagnostic testing</v>
      </c>
      <c r="B226" s="29" t="str">
        <f>IFERROR(__xludf.DUMMYFUNCTION("""COMPUTED_VALUE"""),"assay target details 3")</f>
        <v>assay target details 3</v>
      </c>
      <c r="C226" s="29"/>
      <c r="D226" s="29"/>
      <c r="E226" s="33" t="str">
        <f>IFERROR(__xludf.DUMMYFUNCTION("""COMPUTED_VALUE"""),"GENEPIO:0102047")</f>
        <v>GENEPIO:0102047</v>
      </c>
      <c r="F226" s="29" t="str">
        <f>IFERROR(__xludf.DUMMYFUNCTION("""COMPUTED_VALUE"""),"Describe any details of the assay target.")</f>
        <v>Describe any details of the assay target.</v>
      </c>
      <c r="G226" s="29" t="str">
        <f>IFERROR(__xludf.DUMMYFUNCTION("""COMPUTED_VALUE"""),"Provide details that are applicable to the assay used for the diagnostic test. ")</f>
        <v>Provide details that are applicable to the assay used for the diagnostic test. </v>
      </c>
      <c r="H226" s="29"/>
      <c r="I226" s="29"/>
      <c r="J226" s="29"/>
      <c r="K226" s="30" t="s">
        <v>23</v>
      </c>
      <c r="L226" s="30" t="s">
        <v>23</v>
      </c>
      <c r="M226" s="30" t="s">
        <v>23</v>
      </c>
      <c r="N226" s="29" t="str">
        <f>IFERROR(__xludf.DUMMYFUNCTION("""COMPUTED_VALUE"""),"MpoxInternational")</f>
        <v>MpoxInternational</v>
      </c>
      <c r="O226" s="29"/>
      <c r="P226" s="29"/>
      <c r="Q226" s="29"/>
      <c r="R226" s="29"/>
      <c r="S226" s="29"/>
      <c r="T226" s="29"/>
      <c r="U226" s="29"/>
      <c r="V226" s="29"/>
      <c r="W226" s="29"/>
      <c r="X226" s="29"/>
      <c r="Y226" s="29"/>
      <c r="Z226" s="29"/>
      <c r="AA226" s="29"/>
      <c r="AB226" s="29"/>
    </row>
    <row r="227">
      <c r="A227" s="29" t="str">
        <f>IFERROR(__xludf.DUMMYFUNCTION("""COMPUTED_VALUE"""),"Pathogen diagnostic testing")</f>
        <v>Pathogen diagnostic testing</v>
      </c>
      <c r="B227" s="29" t="str">
        <f>IFERROR(__xludf.DUMMYFUNCTION("""COMPUTED_VALUE"""),"gene name 3")</f>
        <v>gene name 3</v>
      </c>
      <c r="C227" s="29" t="str">
        <f>IFERROR(__xludf.DUMMYFUNCTION("""COMPUTED_VALUE"""),"")</f>
        <v/>
      </c>
      <c r="D227" s="29" t="str">
        <f>IFERROR(__xludf.DUMMYFUNCTION("""COMPUTED_VALUE"""),"")</f>
        <v/>
      </c>
      <c r="E227" s="29" t="str">
        <f>IFERROR(__xludf.DUMMYFUNCTION("""COMPUTED_VALUE"""),"GENEPIO:0001513")</f>
        <v>GENEPIO:0001513</v>
      </c>
      <c r="F227" s="29" t="str">
        <f>IFERROR(__xludf.DUMMYFUNCTION("""COMPUTED_VALUE"""),"The name of the gene used in the diagnostic RT-PCR test.")</f>
        <v>The name of the gene used in the diagnostic RT-PCR test.</v>
      </c>
      <c r="G227" s="29" t="str">
        <f>IFERROR(__xludf.DUMMYFUNCTION("""COMPUTED_VALUE"""),"Select the name of the gene used for the diagnostic PCR from the standardized pick list.")</f>
        <v>Select the name of the gene used for the diagnostic PCR from the standardized pick list.</v>
      </c>
      <c r="H227" s="29" t="str">
        <f>IFERROR(__xludf.DUMMYFUNCTION("""COMPUTED_VALUE"""),"OPHA (orf B2R)")</f>
        <v>OPHA (orf B2R)</v>
      </c>
      <c r="I227" s="29"/>
      <c r="J227" s="29"/>
      <c r="K227" s="30" t="s">
        <v>19</v>
      </c>
      <c r="L227" s="30" t="s">
        <v>19</v>
      </c>
      <c r="M227" s="30" t="s">
        <v>19</v>
      </c>
      <c r="N227" s="29" t="str">
        <f>IFERROR(__xludf.DUMMYFUNCTION("""COMPUTED_VALUE"""),"Mpox")</f>
        <v>Mpox</v>
      </c>
      <c r="O227" s="29"/>
      <c r="P227" s="29"/>
      <c r="Q227" s="29"/>
      <c r="R227" s="29"/>
      <c r="S227" s="29"/>
      <c r="T227" s="29"/>
      <c r="U227" s="29"/>
      <c r="V227" s="29"/>
      <c r="W227" s="29"/>
      <c r="X227" s="29"/>
      <c r="Y227" s="29"/>
      <c r="Z227" s="29"/>
      <c r="AA227" s="29"/>
      <c r="AB227" s="29"/>
    </row>
    <row r="228">
      <c r="A228" s="29" t="str">
        <f>IFERROR(__xludf.DUMMYFUNCTION("""COMPUTED_VALUE"""),"Pathogen diagnostic testing")</f>
        <v>Pathogen diagnostic testing</v>
      </c>
      <c r="B228" s="29" t="str">
        <f>IFERROR(__xludf.DUMMYFUNCTION("""COMPUTED_VALUE"""),"gene symbol 3")</f>
        <v>gene symbol 3</v>
      </c>
      <c r="C228" s="29" t="str">
        <f>IFERROR(__xludf.DUMMYFUNCTION("""COMPUTED_VALUE"""),"")</f>
        <v/>
      </c>
      <c r="D228" s="29" t="str">
        <f>IFERROR(__xludf.DUMMYFUNCTION("""COMPUTED_VALUE"""),"")</f>
        <v/>
      </c>
      <c r="E228" s="29" t="str">
        <f>IFERROR(__xludf.DUMMYFUNCTION("""COMPUTED_VALUE"""),"GENEPIO:0102043")</f>
        <v>GENEPIO:0102043</v>
      </c>
      <c r="F228" s="29" t="str">
        <f>IFERROR(__xludf.DUMMYFUNCTION("""COMPUTED_VALUE"""),"The gene symbol used in the diagnostic RT-PCR test. ")</f>
        <v>The gene symbol used in the diagnostic RT-PCR test. </v>
      </c>
      <c r="G228" s="29" t="str">
        <f>IFERROR(__xludf.DUMMYFUNCTION("""COMPUTED_VALUE"""),"Select the abbreviated representation or standardized symbol of the gene used in the diagnostic test from the pick list. The assay target or specific primer region should be added to assay target name.")</f>
        <v>Select the abbreviated representation or standardized symbol of the gene used in the diagnostic test from the pick list. The assay target or specific primer region should be added to assay target name.</v>
      </c>
      <c r="H228" s="29" t="str">
        <f>IFERROR(__xludf.DUMMYFUNCTION("""COMPUTED_VALUE"""),"opg188 gene (MPOX)")</f>
        <v>opg188 gene (MPOX)</v>
      </c>
      <c r="I228" s="29"/>
      <c r="J228" s="29"/>
      <c r="K228" s="30" t="s">
        <v>23</v>
      </c>
      <c r="L228" s="30" t="s">
        <v>23</v>
      </c>
      <c r="M228" s="30" t="s">
        <v>23</v>
      </c>
      <c r="N228" s="29" t="str">
        <f>IFERROR(__xludf.DUMMYFUNCTION("""COMPUTED_VALUE"""),"MpoxInternational")</f>
        <v>MpoxInternational</v>
      </c>
      <c r="O228" s="29"/>
      <c r="P228" s="29"/>
      <c r="Q228" s="29"/>
      <c r="R228" s="29"/>
      <c r="S228" s="29"/>
      <c r="T228" s="29"/>
      <c r="U228" s="29"/>
      <c r="V228" s="29"/>
      <c r="W228" s="29"/>
      <c r="X228" s="29"/>
      <c r="Y228" s="29"/>
      <c r="Z228" s="29"/>
      <c r="AA228" s="29"/>
      <c r="AB228" s="29"/>
    </row>
    <row r="229">
      <c r="A229" s="29" t="str">
        <f>IFERROR(__xludf.DUMMYFUNCTION("""COMPUTED_VALUE"""),"Pathogen diagnostic testing")</f>
        <v>Pathogen diagnostic testing</v>
      </c>
      <c r="B229" s="29" t="str">
        <f>IFERROR(__xludf.DUMMYFUNCTION("""COMPUTED_VALUE"""),"diagnostic pcr protocol 3")</f>
        <v>diagnostic pcr protocol 3</v>
      </c>
      <c r="C229" s="29"/>
      <c r="D229" s="29"/>
      <c r="E229" s="29" t="str">
        <f>IFERROR(__xludf.DUMMYFUNCTION("""COMPUTED_VALUE"""),"GENEPIO:0001514")</f>
        <v>GENEPIO:0001514</v>
      </c>
      <c r="F229" s="29" t="str">
        <f>IFERROR(__xludf.DUMMYFUNCTION("""COMPUTED_VALUE"""),"The name and version number of the protocol used for diagnostic marker amplification.")</f>
        <v>The name and version number of the protocol used for diagnostic marker amplification.</v>
      </c>
      <c r="G229" s="29" t="str">
        <f>IFERROR(__xludf.DUMMYFUNCTION("""COMPUTED_VALUE"""),"The name and version number of the protocol used for carrying out a diagnostic PCR test. This information can be compared to sequence data for evaluation of performance and quality control.")</f>
        <v>The name and version number of the protocol used for carrying out a diagnostic PCR test. This information can be compared to sequence data for evaluation of performance and quality control.</v>
      </c>
      <c r="H229" s="29" t="str">
        <f>IFERROR(__xludf.DUMMYFUNCTION("""COMPUTED_VALUE"""),"G2R_G (Li et al., 2010) assay")</f>
        <v>G2R_G (Li et al., 2010) assay</v>
      </c>
      <c r="I229" s="29"/>
      <c r="J229" s="29"/>
      <c r="K229" s="30" t="s">
        <v>19</v>
      </c>
      <c r="L229" s="30" t="s">
        <v>19</v>
      </c>
      <c r="M229" s="30" t="s">
        <v>19</v>
      </c>
      <c r="N229" s="29" t="str">
        <f>IFERROR(__xludf.DUMMYFUNCTION("""COMPUTED_VALUE"""),"MpoxInternational")</f>
        <v>MpoxInternational</v>
      </c>
      <c r="O229" s="29"/>
      <c r="P229" s="29"/>
      <c r="Q229" s="29"/>
      <c r="R229" s="29"/>
      <c r="S229" s="29"/>
      <c r="T229" s="29"/>
      <c r="U229" s="29"/>
      <c r="V229" s="29"/>
      <c r="W229" s="29"/>
      <c r="X229" s="29"/>
      <c r="Y229" s="29"/>
      <c r="Z229" s="29"/>
      <c r="AA229" s="29"/>
      <c r="AB229" s="29"/>
    </row>
    <row r="230">
      <c r="A230" s="29" t="str">
        <f>IFERROR(__xludf.DUMMYFUNCTION("""COMPUTED_VALUE"""),"Pathogen diagnostic testing")</f>
        <v>Pathogen diagnostic testing</v>
      </c>
      <c r="B230" s="29" t="str">
        <f>IFERROR(__xludf.DUMMYFUNCTION("""COMPUTED_VALUE"""),"diagnostic pcr Ct value 3")</f>
        <v>diagnostic pcr Ct value 3</v>
      </c>
      <c r="C230" s="29" t="str">
        <f>IFERROR(__xludf.DUMMYFUNCTION("""COMPUTED_VALUE"""),"")</f>
        <v/>
      </c>
      <c r="D230" s="29" t="str">
        <f>IFERROR(__xludf.DUMMYFUNCTION("""COMPUTED_VALUE"""),"")</f>
        <v/>
      </c>
      <c r="E230" s="29" t="str">
        <f>IFERROR(__xludf.DUMMYFUNCTION("""COMPUTED_VALUE"""),"GENEPIO:0001515")</f>
        <v>GENEPIO:0001515</v>
      </c>
      <c r="F230" s="29" t="str">
        <f>IFERROR(__xludf.DUMMYFUNCTION("""COMPUTED_VALUE"""),"The Ct value result from a diagnostic SARS-CoV-2 RT-PCR test.")</f>
        <v>The Ct value result from a diagnostic SARS-CoV-2 RT-PCR test.</v>
      </c>
      <c r="G230" s="29" t="str">
        <f>IFERROR(__xludf.DUMMYFUNCTION("""COMPUTED_VALUE"""),"Provide the CT value of the sample from the second diagnostic RT-PCR test.")</f>
        <v>Provide the CT value of the sample from the second diagnostic RT-PCR test.</v>
      </c>
      <c r="H230" s="29">
        <f>IFERROR(__xludf.DUMMYFUNCTION("""COMPUTED_VALUE"""),19.0)</f>
        <v>19</v>
      </c>
      <c r="I230" s="29"/>
      <c r="J230" s="29"/>
      <c r="K230" s="30" t="s">
        <v>19</v>
      </c>
      <c r="L230" s="30" t="s">
        <v>19</v>
      </c>
      <c r="M230" s="30" t="s">
        <v>19</v>
      </c>
      <c r="N230" s="29" t="str">
        <f>IFERROR(__xludf.DUMMYFUNCTION("""COMPUTED_VALUE"""),"Mpox;MpoxInternational")</f>
        <v>Mpox;MpoxInternational</v>
      </c>
      <c r="O230" s="29"/>
      <c r="P230" s="29"/>
      <c r="Q230" s="29"/>
      <c r="R230" s="29"/>
      <c r="S230" s="29"/>
      <c r="T230" s="29"/>
      <c r="U230" s="29"/>
      <c r="V230" s="29"/>
      <c r="W230" s="29"/>
      <c r="X230" s="29"/>
      <c r="Y230" s="29"/>
      <c r="Z230" s="29"/>
      <c r="AA230" s="29"/>
      <c r="AB230" s="29"/>
    </row>
    <row r="231">
      <c r="A231" s="29" t="str">
        <f>IFERROR(__xludf.DUMMYFUNCTION("""COMPUTED_VALUE"""),"Pathogen diagnostic testing")</f>
        <v>Pathogen diagnostic testing</v>
      </c>
      <c r="B231" s="29" t="str">
        <f>IFERROR(__xludf.DUMMYFUNCTION("""COMPUTED_VALUE"""),"gene name 4")</f>
        <v>gene name 4</v>
      </c>
      <c r="C231" s="29" t="str">
        <f>IFERROR(__xludf.DUMMYFUNCTION("""COMPUTED_VALUE"""),"")</f>
        <v/>
      </c>
      <c r="D231" s="29" t="str">
        <f>IFERROR(__xludf.DUMMYFUNCTION("""COMPUTED_VALUE"""),"")</f>
        <v/>
      </c>
      <c r="E231" s="29" t="str">
        <f>IFERROR(__xludf.DUMMYFUNCTION("""COMPUTED_VALUE"""),"GENEPIO:0100576")</f>
        <v>GENEPIO:0100576</v>
      </c>
      <c r="F231" s="29" t="str">
        <f>IFERROR(__xludf.DUMMYFUNCTION("""COMPUTED_VALUE"""),"The name of the gene used in the diagnostic RT-PCR test.")</f>
        <v>The name of the gene used in the diagnostic RT-PCR test.</v>
      </c>
      <c r="G231" s="29" t="str">
        <f>IFERROR(__xludf.DUMMYFUNCTION("""COMPUTED_VALUE"""),"Select the name of the gene used for the diagnostic PCR from the standardized pick list.")</f>
        <v>Select the name of the gene used for the diagnostic PCR from the standardized pick list.</v>
      </c>
      <c r="H231" s="29" t="str">
        <f>IFERROR(__xludf.DUMMYFUNCTION("""COMPUTED_VALUE"""),"G2R_G (TNFR)")</f>
        <v>G2R_G (TNFR)</v>
      </c>
      <c r="I231" s="29"/>
      <c r="J231" s="29"/>
      <c r="K231" s="30" t="s">
        <v>19</v>
      </c>
      <c r="L231" s="30" t="s">
        <v>19</v>
      </c>
      <c r="M231" s="30" t="s">
        <v>19</v>
      </c>
      <c r="N231" s="29" t="str">
        <f>IFERROR(__xludf.DUMMYFUNCTION("""COMPUTED_VALUE"""),"Mpox")</f>
        <v>Mpox</v>
      </c>
      <c r="O231" s="29"/>
      <c r="P231" s="29"/>
      <c r="Q231" s="29"/>
      <c r="R231" s="29"/>
      <c r="S231" s="29"/>
      <c r="T231" s="29"/>
      <c r="U231" s="29"/>
      <c r="V231" s="29"/>
      <c r="W231" s="29"/>
      <c r="X231" s="29"/>
      <c r="Y231" s="29"/>
      <c r="Z231" s="29"/>
      <c r="AA231" s="29"/>
      <c r="AB231" s="29"/>
    </row>
    <row r="232">
      <c r="A232" s="29" t="str">
        <f>IFERROR(__xludf.DUMMYFUNCTION("""COMPUTED_VALUE"""),"Pathogen diagnostic testing")</f>
        <v>Pathogen diagnostic testing</v>
      </c>
      <c r="B232" s="29" t="str">
        <f>IFERROR(__xludf.DUMMYFUNCTION("""COMPUTED_VALUE"""),"diagnostic pcr Ct value 4")</f>
        <v>diagnostic pcr Ct value 4</v>
      </c>
      <c r="C232" s="29" t="str">
        <f>IFERROR(__xludf.DUMMYFUNCTION("""COMPUTED_VALUE"""),"")</f>
        <v/>
      </c>
      <c r="D232" s="29" t="str">
        <f>IFERROR(__xludf.DUMMYFUNCTION("""COMPUTED_VALUE"""),"")</f>
        <v/>
      </c>
      <c r="E232" s="29" t="str">
        <f>IFERROR(__xludf.DUMMYFUNCTION("""COMPUTED_VALUE"""),"GENEPIO:0100577")</f>
        <v>GENEPIO:0100577</v>
      </c>
      <c r="F232" s="29" t="str">
        <f>IFERROR(__xludf.DUMMYFUNCTION("""COMPUTED_VALUE"""),"The Ct value result from a diagnostic SARS-CoV-2 RT-PCR test.")</f>
        <v>The Ct value result from a diagnostic SARS-CoV-2 RT-PCR test.</v>
      </c>
      <c r="G232" s="29" t="str">
        <f>IFERROR(__xludf.DUMMYFUNCTION("""COMPUTED_VALUE"""),"Provide the CT value of the sample from the second diagnostic RT-PCR test.")</f>
        <v>Provide the CT value of the sample from the second diagnostic RT-PCR test.</v>
      </c>
      <c r="H232" s="29">
        <f>IFERROR(__xludf.DUMMYFUNCTION("""COMPUTED_VALUE"""),27.0)</f>
        <v>27</v>
      </c>
      <c r="I232" s="29"/>
      <c r="J232" s="29"/>
      <c r="K232" s="30" t="s">
        <v>19</v>
      </c>
      <c r="L232" s="30" t="s">
        <v>19</v>
      </c>
      <c r="M232" s="30" t="s">
        <v>19</v>
      </c>
      <c r="N232" s="29" t="str">
        <f>IFERROR(__xludf.DUMMYFUNCTION("""COMPUTED_VALUE"""),"Mpox")</f>
        <v>Mpox</v>
      </c>
      <c r="O232" s="29"/>
      <c r="P232" s="29"/>
      <c r="Q232" s="29"/>
      <c r="R232" s="29"/>
      <c r="S232" s="29"/>
      <c r="T232" s="29"/>
      <c r="U232" s="29"/>
      <c r="V232" s="29"/>
      <c r="W232" s="29"/>
      <c r="X232" s="29"/>
      <c r="Y232" s="29"/>
      <c r="Z232" s="29"/>
      <c r="AA232" s="29"/>
      <c r="AB232" s="29"/>
    </row>
    <row r="233">
      <c r="A233" s="29" t="str">
        <f>IFERROR(__xludf.DUMMYFUNCTION("""COMPUTED_VALUE"""),"Pathogen diagnostic testing")</f>
        <v>Pathogen diagnostic testing</v>
      </c>
      <c r="B233" s="29" t="str">
        <f>IFERROR(__xludf.DUMMYFUNCTION("""COMPUTED_VALUE"""),"gene name 5")</f>
        <v>gene name 5</v>
      </c>
      <c r="C233" s="29" t="str">
        <f>IFERROR(__xludf.DUMMYFUNCTION("""COMPUTED_VALUE"""),"")</f>
        <v/>
      </c>
      <c r="D233" s="29" t="str">
        <f>IFERROR(__xludf.DUMMYFUNCTION("""COMPUTED_VALUE"""),"")</f>
        <v/>
      </c>
      <c r="E233" s="29" t="str">
        <f>IFERROR(__xludf.DUMMYFUNCTION("""COMPUTED_VALUE"""),"GENEPIO:0100578")</f>
        <v>GENEPIO:0100578</v>
      </c>
      <c r="F233" s="29" t="str">
        <f>IFERROR(__xludf.DUMMYFUNCTION("""COMPUTED_VALUE"""),"The name of the gene used in the diagnostic RT-PCR test.")</f>
        <v>The name of the gene used in the diagnostic RT-PCR test.</v>
      </c>
      <c r="G233" s="29" t="str">
        <f>IFERROR(__xludf.DUMMYFUNCTION("""COMPUTED_VALUE"""),"Select the name of the gene used for the diagnostic PCR from the standardized pick list.")</f>
        <v>Select the name of the gene used for the diagnostic PCR from the standardized pick list.</v>
      </c>
      <c r="H233" s="29" t="str">
        <f>IFERROR(__xludf.DUMMYFUNCTION("""COMPUTED_VALUE"""),"RNAse P")</f>
        <v>RNAse P</v>
      </c>
      <c r="I233" s="29"/>
      <c r="J233" s="29"/>
      <c r="K233" s="30" t="s">
        <v>19</v>
      </c>
      <c r="L233" s="30" t="s">
        <v>19</v>
      </c>
      <c r="M233" s="30" t="s">
        <v>19</v>
      </c>
      <c r="N233" s="29" t="str">
        <f>IFERROR(__xludf.DUMMYFUNCTION("""COMPUTED_VALUE"""),"Mpox")</f>
        <v>Mpox</v>
      </c>
      <c r="O233" s="29"/>
      <c r="P233" s="29"/>
      <c r="Q233" s="29"/>
      <c r="R233" s="29"/>
      <c r="S233" s="29"/>
      <c r="T233" s="29"/>
      <c r="U233" s="29"/>
      <c r="V233" s="29"/>
      <c r="W233" s="29"/>
      <c r="X233" s="29"/>
      <c r="Y233" s="29"/>
      <c r="Z233" s="29"/>
      <c r="AA233" s="29"/>
      <c r="AB233" s="29"/>
    </row>
    <row r="234">
      <c r="A234" s="29" t="str">
        <f>IFERROR(__xludf.DUMMYFUNCTION("""COMPUTED_VALUE"""),"Pathogen diagnostic testing")</f>
        <v>Pathogen diagnostic testing</v>
      </c>
      <c r="B234" s="29" t="str">
        <f>IFERROR(__xludf.DUMMYFUNCTION("""COMPUTED_VALUE"""),"diagnostic pcr Ct value 5")</f>
        <v>diagnostic pcr Ct value 5</v>
      </c>
      <c r="C234" s="29" t="str">
        <f>IFERROR(__xludf.DUMMYFUNCTION("""COMPUTED_VALUE"""),"")</f>
        <v/>
      </c>
      <c r="D234" s="29" t="str">
        <f>IFERROR(__xludf.DUMMYFUNCTION("""COMPUTED_VALUE"""),"")</f>
        <v/>
      </c>
      <c r="E234" s="29" t="str">
        <f>IFERROR(__xludf.DUMMYFUNCTION("""COMPUTED_VALUE"""),"GENEPIO:0100579")</f>
        <v>GENEPIO:0100579</v>
      </c>
      <c r="F234" s="29" t="str">
        <f>IFERROR(__xludf.DUMMYFUNCTION("""COMPUTED_VALUE"""),"The Ct value result from a diagnostic SARS-CoV-2 RT-PCR test.")</f>
        <v>The Ct value result from a diagnostic SARS-CoV-2 RT-PCR test.</v>
      </c>
      <c r="G234" s="29" t="str">
        <f>IFERROR(__xludf.DUMMYFUNCTION("""COMPUTED_VALUE"""),"Provide the CT value of the sample from the second diagnostic RT-PCR test.")</f>
        <v>Provide the CT value of the sample from the second diagnostic RT-PCR test.</v>
      </c>
      <c r="H234" s="29">
        <f>IFERROR(__xludf.DUMMYFUNCTION("""COMPUTED_VALUE"""),30.0)</f>
        <v>30</v>
      </c>
      <c r="I234" s="29"/>
      <c r="J234" s="29"/>
      <c r="K234" s="30" t="s">
        <v>19</v>
      </c>
      <c r="L234" s="30" t="s">
        <v>19</v>
      </c>
      <c r="M234" s="30" t="s">
        <v>19</v>
      </c>
      <c r="N234" s="29" t="str">
        <f>IFERROR(__xludf.DUMMYFUNCTION("""COMPUTED_VALUE"""),"Mpox")</f>
        <v>Mpox</v>
      </c>
      <c r="O234" s="29"/>
      <c r="P234" s="29"/>
      <c r="Q234" s="29"/>
      <c r="R234" s="29"/>
      <c r="S234" s="29"/>
      <c r="T234" s="29"/>
      <c r="U234" s="29"/>
      <c r="V234" s="29"/>
      <c r="W234" s="29"/>
      <c r="X234" s="29"/>
      <c r="Y234" s="29"/>
      <c r="Z234" s="29"/>
      <c r="AA234" s="29"/>
      <c r="AB234" s="29"/>
    </row>
    <row r="235">
      <c r="A235" s="29"/>
      <c r="B235" s="29" t="str">
        <f>IFERROR(__xludf.DUMMYFUNCTION("""COMPUTED_VALUE"""),"Contributor acknowledgement")</f>
        <v>Contributor acknowledgement</v>
      </c>
      <c r="C235" s="29" t="str">
        <f>IFERROR(__xludf.DUMMYFUNCTION("""COMPUTED_VALUE"""),"")</f>
        <v/>
      </c>
      <c r="D235" s="29" t="str">
        <f>IFERROR(__xludf.DUMMYFUNCTION("""COMPUTED_VALUE"""),"")</f>
        <v/>
      </c>
      <c r="E235" s="29" t="str">
        <f>IFERROR(__xludf.DUMMYFUNCTION("""COMPUTED_VALUE"""),"GENEPIO:0001516")</f>
        <v>GENEPIO:0001516</v>
      </c>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t="str">
        <f>IFERROR(__xludf.DUMMYFUNCTION("""COMPUTED_VALUE"""),"Contributor acknowledgement")</f>
        <v>Contributor acknowledgement</v>
      </c>
      <c r="B236" s="29" t="str">
        <f>IFERROR(__xludf.DUMMYFUNCTION("""COMPUTED_VALUE"""),"authors")</f>
        <v>authors</v>
      </c>
      <c r="C236" s="29" t="str">
        <f>IFERROR(__xludf.DUMMYFUNCTION("""COMPUTED_VALUE"""),"")</f>
        <v/>
      </c>
      <c r="D236" s="29" t="b">
        <f>IFERROR(__xludf.DUMMYFUNCTION("""COMPUTED_VALUE"""),TRUE)</f>
        <v>1</v>
      </c>
      <c r="E236" s="29" t="str">
        <f>IFERROR(__xludf.DUMMYFUNCTION("""COMPUTED_VALUE"""),"GENEPIO:0001517")</f>
        <v>GENEPIO:0001517</v>
      </c>
      <c r="F236" s="29"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36" s="29" t="str">
        <f>IFERROR(__xludf.DUMMYFUNCTION("""COMPUTED_VALUE"""),"Include the first and last names of all individuals that should be attributed, separated by a comma.")</f>
        <v>Include the first and last names of all individuals that should be attributed, separated by a comma.</v>
      </c>
      <c r="H236" s="29" t="str">
        <f>IFERROR(__xludf.DUMMYFUNCTION("""COMPUTED_VALUE"""),"Tejinder Singh, Fei Hu, Joe Blogs")</f>
        <v>Tejinder Singh, Fei Hu, Joe Blogs</v>
      </c>
      <c r="I236" s="29"/>
      <c r="J236" s="29"/>
      <c r="K236" s="30" t="s">
        <v>19</v>
      </c>
      <c r="L236" s="30" t="s">
        <v>19</v>
      </c>
      <c r="M236" s="30" t="s">
        <v>19</v>
      </c>
      <c r="N236" s="29" t="str">
        <f>IFERROR(__xludf.DUMMYFUNCTION("""COMPUTED_VALUE"""),"Mpox;MpoxInternational")</f>
        <v>Mpox;MpoxInternational</v>
      </c>
      <c r="O236" s="29"/>
      <c r="P236" s="29"/>
      <c r="Q236" s="29"/>
      <c r="R236" s="29"/>
      <c r="S236" s="29"/>
      <c r="T236" s="29"/>
      <c r="U236" s="29"/>
      <c r="V236" s="29"/>
      <c r="W236" s="29"/>
      <c r="X236" s="29"/>
      <c r="Y236" s="29"/>
      <c r="Z236" s="29"/>
      <c r="AA236" s="29"/>
      <c r="AB236" s="29"/>
    </row>
    <row r="237">
      <c r="A237" s="29" t="str">
        <f>IFERROR(__xludf.DUMMYFUNCTION("""COMPUTED_VALUE"""),"Contributor acknowledgement")</f>
        <v>Contributor acknowledgement</v>
      </c>
      <c r="B237" s="29" t="str">
        <f>IFERROR(__xludf.DUMMYFUNCTION("""COMPUTED_VALUE"""),"DataHarmonizer provenance")</f>
        <v>DataHarmonizer provenance</v>
      </c>
      <c r="C237" s="29" t="str">
        <f>IFERROR(__xludf.DUMMYFUNCTION("""COMPUTED_VALUE"""),"")</f>
        <v/>
      </c>
      <c r="D237" s="29" t="str">
        <f>IFERROR(__xludf.DUMMYFUNCTION("""COMPUTED_VALUE"""),"")</f>
        <v/>
      </c>
      <c r="E237" s="29" t="str">
        <f>IFERROR(__xludf.DUMMYFUNCTION("""COMPUTED_VALUE"""),"GENEPIO:0001518")</f>
        <v>GENEPIO:0001518</v>
      </c>
      <c r="F237" s="29" t="str">
        <f>IFERROR(__xludf.DUMMYFUNCTION("""COMPUTED_VALUE"""),"The DataHarmonizer software and template version provenance.")</f>
        <v>The DataHarmonizer software and template version provenance.</v>
      </c>
      <c r="G237" s="29"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37" s="29" t="str">
        <f>IFERROR(__xludf.DUMMYFUNCTION("""COMPUTED_VALUE"""),"DataHarmonizer v1.4.3, Mpox v3.3.1")</f>
        <v>DataHarmonizer v1.4.3, Mpox v3.3.1</v>
      </c>
      <c r="I237" s="29"/>
      <c r="J237" s="29"/>
      <c r="K237" s="30" t="s">
        <v>19</v>
      </c>
      <c r="L237" s="30" t="s">
        <v>19</v>
      </c>
      <c r="M237" s="30" t="s">
        <v>19</v>
      </c>
      <c r="N237" s="29" t="str">
        <f>IFERROR(__xludf.DUMMYFUNCTION("""COMPUTED_VALUE"""),"Mpox;MpoxInternational")</f>
        <v>Mpox;MpoxInternational</v>
      </c>
      <c r="O237" s="29"/>
      <c r="P237" s="29"/>
      <c r="Q237" s="29"/>
      <c r="R237" s="29"/>
      <c r="S237" s="29"/>
      <c r="T237" s="29"/>
      <c r="U237" s="29"/>
      <c r="V237" s="29"/>
      <c r="W237" s="29"/>
      <c r="X237" s="29"/>
      <c r="Y237" s="29"/>
      <c r="Z237" s="29"/>
      <c r="AA237" s="29"/>
      <c r="AB237" s="29"/>
    </row>
  </sheetData>
  <autoFilter ref="$A$6:$AB$92"/>
  <mergeCells count="1">
    <mergeCell ref="I2:J5"/>
  </mergeCells>
  <conditionalFormatting sqref="A6:J238 K6:M243 N6:N238">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106"/>
    <hyperlink r:id="rId2" ref="H202"/>
    <hyperlink r:id="rId3" ref="H203"/>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customWidth="1" min="12" max="12" width="16.88"/>
    <col customWidth="1" min="13" max="13" width="17.88"/>
  </cols>
  <sheetData>
    <row r="1">
      <c r="A1" s="42" t="s">
        <v>1</v>
      </c>
      <c r="B1" s="42" t="s">
        <v>24</v>
      </c>
      <c r="C1" s="43" t="s">
        <v>2</v>
      </c>
      <c r="D1" s="42" t="s">
        <v>3</v>
      </c>
      <c r="E1" s="42" t="s">
        <v>4</v>
      </c>
      <c r="F1" s="44" t="s">
        <v>6</v>
      </c>
      <c r="G1" s="44" t="s">
        <v>7</v>
      </c>
      <c r="H1" s="45" t="s">
        <v>8</v>
      </c>
      <c r="K1" s="46" t="s">
        <v>10</v>
      </c>
      <c r="L1" s="29"/>
    </row>
    <row r="2">
      <c r="A2" s="47"/>
      <c r="B2" s="48"/>
      <c r="C2" s="48"/>
      <c r="D2" s="48"/>
      <c r="E2" s="48"/>
      <c r="F2" s="11" t="s">
        <v>25</v>
      </c>
      <c r="H2" s="12" t="s">
        <v>13</v>
      </c>
      <c r="I2" s="12" t="s">
        <v>14</v>
      </c>
      <c r="J2" s="12" t="s">
        <v>15</v>
      </c>
      <c r="K2" s="14"/>
      <c r="L2" s="30" t="s">
        <v>26</v>
      </c>
    </row>
    <row r="3">
      <c r="A3" s="49" t="str">
        <f>IFERROR(__xludf.DUMMYFUNCTION("IMPORTRANGE(""https://docs.google.com/spreadsheets/d/1jPQAIJcL_xa3oBVFEsYRGLGf7ESTOwzsTSjKZ-0CTYE/edit?gid=1995294799#gid=1995294799"",""MPox-enums!A3:A"")"),"null value menu")</f>
        <v>null value menu</v>
      </c>
      <c r="B3" s="50"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49" t="str">
        <f>IFERROR(__xludf.DUMMYFUNCTION("IMPORTRANGE(""https://docs.google.com/spreadsheets/d/1jPQAIJcL_xa3oBVFEsYRGLGf7ESTOwzsTSjKZ-0CTYE/edit?gid=1995294799#gid=1995294799"",""MPox-enums!C2:C"")"),"")</f>
        <v/>
      </c>
      <c r="D3" s="49" t="str">
        <f>IFERROR(__xludf.DUMMYFUNCTION("IMPORTRANGE(""https://docs.google.com/spreadsheets/d/1jPQAIJcL_xa3oBVFEsYRGLGf7ESTOwzsTSjKZ-0CTYE/edit?gid=1995294799#gid=1995294799"",""MPox-enums!I2:I"")"),"")</f>
        <v/>
      </c>
      <c r="E3" s="49"/>
      <c r="F3" s="51"/>
      <c r="G3" s="51"/>
      <c r="H3" s="51"/>
      <c r="I3" s="51"/>
      <c r="J3" s="51"/>
      <c r="K3" s="52" t="s">
        <v>27</v>
      </c>
      <c r="L3" s="29" t="str">
        <f>LEFT(A3, LEN(A3) - 5)
</f>
        <v>null value</v>
      </c>
      <c r="M3" s="53" t="str">
        <f>VLOOKUP(L3,'Field Reference Guide'!$B$6:$N$220,13,false)</f>
        <v>#N/A</v>
      </c>
    </row>
    <row r="4">
      <c r="A4" s="49"/>
      <c r="B4" s="50" t="str">
        <f>IFERROR(__xludf.DUMMYFUNCTION("""COMPUTED_VALUE"""),"Not Applicable                    ")</f>
        <v>Not Applicable                    </v>
      </c>
      <c r="C4" s="54" t="str">
        <f>IFERROR(__xludf.DUMMYFUNCTION("""COMPUTED_VALUE"""),"GENEPIO:0001619")</f>
        <v>GENEPIO:0001619</v>
      </c>
      <c r="D4" s="54" t="str">
        <f>IFERROR(__xludf.DUMMYFUNCTION("""COMPUTED_VALUE"""),"A categorical choice recorded when a datum does not apply to a given context.")</f>
        <v>A categorical choice recorded when a datum does not apply to a given context.</v>
      </c>
      <c r="E4" s="54"/>
      <c r="F4" s="51"/>
      <c r="G4" s="51"/>
      <c r="H4" s="54" t="s">
        <v>19</v>
      </c>
      <c r="I4" s="54" t="s">
        <v>19</v>
      </c>
      <c r="J4" s="54" t="s">
        <v>19</v>
      </c>
      <c r="K4" s="52" t="s">
        <v>27</v>
      </c>
      <c r="M4" s="31" t="s">
        <v>28</v>
      </c>
    </row>
    <row r="5">
      <c r="A5" s="49"/>
      <c r="B5" s="50" t="str">
        <f>IFERROR(__xludf.DUMMYFUNCTION("""COMPUTED_VALUE"""),"Missing                    ")</f>
        <v>Missing                    </v>
      </c>
      <c r="C5" s="54" t="str">
        <f>IFERROR(__xludf.DUMMYFUNCTION("""COMPUTED_VALUE"""),"GENEPIO:0001618")</f>
        <v>GENEPIO:0001618</v>
      </c>
      <c r="D5" s="54" t="str">
        <f>IFERROR(__xludf.DUMMYFUNCTION("""COMPUTED_VALUE"""),"A categorical choice recorded when a datum is not included for an unknown reason.")</f>
        <v>A categorical choice recorded when a datum is not included for an unknown reason.</v>
      </c>
      <c r="E5" s="54"/>
      <c r="F5" s="51"/>
      <c r="G5" s="51"/>
      <c r="H5" s="54" t="s">
        <v>19</v>
      </c>
      <c r="I5" s="54" t="s">
        <v>19</v>
      </c>
      <c r="J5" s="54" t="s">
        <v>19</v>
      </c>
      <c r="K5" s="52" t="s">
        <v>27</v>
      </c>
      <c r="M5" s="55"/>
    </row>
    <row r="6">
      <c r="A6" s="49"/>
      <c r="B6" s="50" t="str">
        <f>IFERROR(__xludf.DUMMYFUNCTION("""COMPUTED_VALUE"""),"Not Collected                    ")</f>
        <v>Not Collected                    </v>
      </c>
      <c r="C6" s="54" t="str">
        <f>IFERROR(__xludf.DUMMYFUNCTION("""COMPUTED_VALUE"""),"GENEPIO:0001620")</f>
        <v>GENEPIO:0001620</v>
      </c>
      <c r="D6" s="54" t="str">
        <f>IFERROR(__xludf.DUMMYFUNCTION("""COMPUTED_VALUE"""),"A categorical choice recorded when a datum was not measured or collected.")</f>
        <v>A categorical choice recorded when a datum was not measured or collected.</v>
      </c>
      <c r="E6" s="54"/>
      <c r="F6" s="51"/>
      <c r="G6" s="51"/>
      <c r="H6" s="54" t="s">
        <v>19</v>
      </c>
      <c r="I6" s="54" t="s">
        <v>19</v>
      </c>
      <c r="J6" s="54" t="s">
        <v>19</v>
      </c>
      <c r="K6" s="52" t="s">
        <v>27</v>
      </c>
      <c r="M6" s="55"/>
    </row>
    <row r="7">
      <c r="A7" s="49"/>
      <c r="B7" s="50" t="str">
        <f>IFERROR(__xludf.DUMMYFUNCTION("""COMPUTED_VALUE"""),"Not Provided                    ")</f>
        <v>Not Provided                    </v>
      </c>
      <c r="C7" s="54" t="str">
        <f>IFERROR(__xludf.DUMMYFUNCTION("""COMPUTED_VALUE"""),"GENEPIO:0001668")</f>
        <v>GENEPIO:0001668</v>
      </c>
      <c r="D7" s="54"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4"/>
      <c r="F7" s="51"/>
      <c r="G7" s="51"/>
      <c r="H7" s="54" t="s">
        <v>19</v>
      </c>
      <c r="I7" s="54" t="s">
        <v>19</v>
      </c>
      <c r="J7" s="54" t="s">
        <v>19</v>
      </c>
      <c r="K7" s="52" t="s">
        <v>27</v>
      </c>
      <c r="M7" s="55"/>
    </row>
    <row r="8">
      <c r="A8" s="29"/>
      <c r="B8" s="50"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4" t="s">
        <v>19</v>
      </c>
      <c r="I8" s="54" t="s">
        <v>19</v>
      </c>
      <c r="J8" s="54" t="s">
        <v>19</v>
      </c>
      <c r="K8" s="52" t="s">
        <v>27</v>
      </c>
      <c r="M8" s="55"/>
    </row>
    <row r="9">
      <c r="A9" s="53" t="str">
        <f>IFERROR(__xludf.DUMMYFUNCTION("""COMPUTED_VALUE"""),"geo_loc_name (state/province/territory) menu")</f>
        <v>geo_loc_name (state/province/territory) menu</v>
      </c>
      <c r="B9" s="50" t="str">
        <f>IFERROR(__xludf.DUMMYFUNCTION("""COMPUTED_VALUE"""),"                    ")</f>
        <v>                    </v>
      </c>
      <c r="C9" s="53"/>
      <c r="D9" s="29" t="str">
        <f>IFERROR(__xludf.DUMMYFUNCTION("""COMPUTED_VALUE"""),"")</f>
        <v/>
      </c>
      <c r="E9" s="53"/>
      <c r="F9" s="53"/>
      <c r="G9" s="53"/>
      <c r="H9" s="53"/>
      <c r="I9" s="53"/>
      <c r="J9" s="53"/>
      <c r="K9" s="53" t="s">
        <v>29</v>
      </c>
      <c r="L9" s="53" t="str">
        <f>LEFT(A9, LEN(A9) - 5)
</f>
        <v>geo_loc_name (state/province/territory)</v>
      </c>
      <c r="M9" s="53" t="str">
        <f>VLOOKUP(L9,'Field Reference Guide'!$B$6:$N$220,13,false)</f>
        <v>Mpox</v>
      </c>
    </row>
    <row r="10">
      <c r="A10" s="53"/>
      <c r="B10" s="50" t="str">
        <f>IFERROR(__xludf.DUMMYFUNCTION("""COMPUTED_VALUE"""),"Alberta                    ")</f>
        <v>Alberta                    </v>
      </c>
      <c r="C10" s="53"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2" t="s">
        <v>19</v>
      </c>
      <c r="I10" s="52" t="s">
        <v>19</v>
      </c>
      <c r="J10" s="52" t="s">
        <v>19</v>
      </c>
      <c r="K10" s="52" t="str">
        <f t="shared" ref="K10:K23" si="1">K9</f>
        <v>Mpox</v>
      </c>
      <c r="M10" s="56"/>
    </row>
    <row r="11">
      <c r="A11" s="53"/>
      <c r="B11" s="50" t="str">
        <f>IFERROR(__xludf.DUMMYFUNCTION("""COMPUTED_VALUE"""),"British Columbia                    ")</f>
        <v>British Columbia                    </v>
      </c>
      <c r="C11" s="53"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2" t="s">
        <v>19</v>
      </c>
      <c r="I11" s="52" t="s">
        <v>19</v>
      </c>
      <c r="J11" s="52" t="s">
        <v>19</v>
      </c>
      <c r="K11" s="52" t="str">
        <f t="shared" si="1"/>
        <v>Mpox</v>
      </c>
      <c r="M11" s="55"/>
    </row>
    <row r="12">
      <c r="A12" s="53"/>
      <c r="B12" s="50" t="str">
        <f>IFERROR(__xludf.DUMMYFUNCTION("""COMPUTED_VALUE"""),"Manitoba                    ")</f>
        <v>Manitoba                    </v>
      </c>
      <c r="C12" s="53"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2" t="s">
        <v>19</v>
      </c>
      <c r="I12" s="52" t="s">
        <v>19</v>
      </c>
      <c r="J12" s="52" t="s">
        <v>19</v>
      </c>
      <c r="K12" s="52" t="str">
        <f t="shared" si="1"/>
        <v>Mpox</v>
      </c>
      <c r="M12" s="55"/>
    </row>
    <row r="13">
      <c r="A13" s="53"/>
      <c r="B13" s="50" t="str">
        <f>IFERROR(__xludf.DUMMYFUNCTION("""COMPUTED_VALUE"""),"New Brunswick                    ")</f>
        <v>New Brunswick                    </v>
      </c>
      <c r="C13" s="53"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2" t="s">
        <v>19</v>
      </c>
      <c r="I13" s="52" t="s">
        <v>19</v>
      </c>
      <c r="J13" s="52" t="s">
        <v>19</v>
      </c>
      <c r="K13" s="52" t="str">
        <f t="shared" si="1"/>
        <v>Mpox</v>
      </c>
      <c r="M13" s="55"/>
    </row>
    <row r="14">
      <c r="A14" s="53"/>
      <c r="B14" s="50" t="str">
        <f>IFERROR(__xludf.DUMMYFUNCTION("""COMPUTED_VALUE"""),"Newfoundland and Labrador                    ")</f>
        <v>Newfoundland and Labrador                    </v>
      </c>
      <c r="C14" s="53"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2" t="s">
        <v>19</v>
      </c>
      <c r="I14" s="52" t="s">
        <v>19</v>
      </c>
      <c r="J14" s="52" t="s">
        <v>19</v>
      </c>
      <c r="K14" s="52" t="str">
        <f t="shared" si="1"/>
        <v>Mpox</v>
      </c>
      <c r="M14" s="55"/>
    </row>
    <row r="15">
      <c r="A15" s="53"/>
      <c r="B15" s="50" t="str">
        <f>IFERROR(__xludf.DUMMYFUNCTION("""COMPUTED_VALUE"""),"Northwest Territories                    ")</f>
        <v>Northwest Territories                    </v>
      </c>
      <c r="C15" s="53"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2" t="s">
        <v>19</v>
      </c>
      <c r="I15" s="52" t="s">
        <v>19</v>
      </c>
      <c r="J15" s="52" t="s">
        <v>19</v>
      </c>
      <c r="K15" s="52" t="str">
        <f t="shared" si="1"/>
        <v>Mpox</v>
      </c>
      <c r="M15" s="55"/>
    </row>
    <row r="16">
      <c r="A16" s="53"/>
      <c r="B16" s="50" t="str">
        <f>IFERROR(__xludf.DUMMYFUNCTION("""COMPUTED_VALUE"""),"Nova Scotia                    ")</f>
        <v>Nova Scotia                    </v>
      </c>
      <c r="C16" s="53"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2" t="s">
        <v>19</v>
      </c>
      <c r="I16" s="52" t="s">
        <v>19</v>
      </c>
      <c r="J16" s="52" t="s">
        <v>19</v>
      </c>
      <c r="K16" s="52" t="str">
        <f t="shared" si="1"/>
        <v>Mpox</v>
      </c>
      <c r="M16" s="55"/>
    </row>
    <row r="17">
      <c r="A17" s="53"/>
      <c r="B17" s="50" t="str">
        <f>IFERROR(__xludf.DUMMYFUNCTION("""COMPUTED_VALUE"""),"Nunavut                    ")</f>
        <v>Nunavut                    </v>
      </c>
      <c r="C17" s="53"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2" t="s">
        <v>19</v>
      </c>
      <c r="I17" s="52" t="s">
        <v>19</v>
      </c>
      <c r="J17" s="52" t="s">
        <v>19</v>
      </c>
      <c r="K17" s="52" t="str">
        <f t="shared" si="1"/>
        <v>Mpox</v>
      </c>
      <c r="M17" s="55"/>
    </row>
    <row r="18">
      <c r="A18" s="53"/>
      <c r="B18" s="50" t="str">
        <f>IFERROR(__xludf.DUMMYFUNCTION("""COMPUTED_VALUE"""),"Ontario                    ")</f>
        <v>Ontario                    </v>
      </c>
      <c r="C18" s="53"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2" t="s">
        <v>19</v>
      </c>
      <c r="I18" s="52" t="s">
        <v>19</v>
      </c>
      <c r="J18" s="52" t="s">
        <v>19</v>
      </c>
      <c r="K18" s="52" t="str">
        <f t="shared" si="1"/>
        <v>Mpox</v>
      </c>
      <c r="M18" s="55"/>
    </row>
    <row r="19">
      <c r="A19" s="53"/>
      <c r="B19" s="50" t="str">
        <f>IFERROR(__xludf.DUMMYFUNCTION("""COMPUTED_VALUE"""),"Prince Edward Island                    ")</f>
        <v>Prince Edward Island                    </v>
      </c>
      <c r="C19" s="53"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2" t="s">
        <v>19</v>
      </c>
      <c r="I19" s="52" t="s">
        <v>19</v>
      </c>
      <c r="J19" s="52" t="s">
        <v>19</v>
      </c>
      <c r="K19" s="52" t="str">
        <f t="shared" si="1"/>
        <v>Mpox</v>
      </c>
      <c r="M19" s="55"/>
    </row>
    <row r="20">
      <c r="A20" s="53"/>
      <c r="B20" s="50" t="str">
        <f>IFERROR(__xludf.DUMMYFUNCTION("""COMPUTED_VALUE"""),"Quebec                    ")</f>
        <v>Quebec                    </v>
      </c>
      <c r="C20" s="53"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2" t="s">
        <v>19</v>
      </c>
      <c r="I20" s="52" t="s">
        <v>19</v>
      </c>
      <c r="J20" s="52" t="s">
        <v>19</v>
      </c>
      <c r="K20" s="52" t="str">
        <f t="shared" si="1"/>
        <v>Mpox</v>
      </c>
      <c r="M20" s="55"/>
    </row>
    <row r="21">
      <c r="A21" s="53"/>
      <c r="B21" s="50" t="str">
        <f>IFERROR(__xludf.DUMMYFUNCTION("""COMPUTED_VALUE"""),"Saskatchewan                    ")</f>
        <v>Saskatchewan                    </v>
      </c>
      <c r="C21" s="53"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2" t="s">
        <v>19</v>
      </c>
      <c r="I21" s="52" t="s">
        <v>19</v>
      </c>
      <c r="J21" s="52" t="s">
        <v>19</v>
      </c>
      <c r="K21" s="52" t="str">
        <f t="shared" si="1"/>
        <v>Mpox</v>
      </c>
      <c r="M21" s="55"/>
    </row>
    <row r="22">
      <c r="A22" s="53"/>
      <c r="B22" s="50" t="str">
        <f>IFERROR(__xludf.DUMMYFUNCTION("""COMPUTED_VALUE"""),"Yukon                    ")</f>
        <v>Yukon                    </v>
      </c>
      <c r="C22" s="53"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2" t="s">
        <v>19</v>
      </c>
      <c r="I22" s="52" t="s">
        <v>19</v>
      </c>
      <c r="J22" s="52" t="s">
        <v>19</v>
      </c>
      <c r="K22" s="52" t="str">
        <f t="shared" si="1"/>
        <v>Mpox</v>
      </c>
      <c r="M22" s="55"/>
    </row>
    <row r="23">
      <c r="A23" s="53"/>
      <c r="B23" s="50" t="str">
        <f>IFERROR(__xludf.DUMMYFUNCTION("""COMPUTED_VALUE"""),"                    ")</f>
        <v>                    </v>
      </c>
      <c r="C23" s="53"/>
      <c r="D23" s="29" t="str">
        <f>IFERROR(__xludf.DUMMYFUNCTION("""COMPUTED_VALUE"""),"")</f>
        <v/>
      </c>
      <c r="H23" s="52" t="s">
        <v>19</v>
      </c>
      <c r="I23" s="52" t="s">
        <v>19</v>
      </c>
      <c r="J23" s="52" t="s">
        <v>19</v>
      </c>
      <c r="K23" s="52" t="str">
        <f t="shared" si="1"/>
        <v>Mpox</v>
      </c>
      <c r="M23" s="57"/>
    </row>
    <row r="24">
      <c r="A24" s="53" t="str">
        <f>IFERROR(__xludf.DUMMYFUNCTION("""COMPUTED_VALUE"""),"sample collection date precision menu")</f>
        <v>sample collection date precision menu</v>
      </c>
      <c r="B24" s="50" t="str">
        <f>IFERROR(__xludf.DUMMYFUNCTION("""COMPUTED_VALUE"""),"                    ")</f>
        <v>                    </v>
      </c>
      <c r="C24" s="53"/>
      <c r="D24" s="29" t="str">
        <f>IFERROR(__xludf.DUMMYFUNCTION("""COMPUTED_VALUE"""),"")</f>
        <v/>
      </c>
      <c r="E24" s="53"/>
      <c r="F24" s="53"/>
      <c r="G24" s="53"/>
      <c r="H24" s="53"/>
      <c r="I24" s="53"/>
      <c r="J24" s="53"/>
      <c r="K24" s="53" t="s">
        <v>29</v>
      </c>
      <c r="L24" s="53" t="str">
        <f>LEFT(A24, LEN(A24) - 5)
</f>
        <v>sample collection date precision</v>
      </c>
      <c r="M24" s="53" t="str">
        <f>VLOOKUP(L24,'Field Reference Guide'!$B$6:$N$220,13,false)</f>
        <v>Mpox</v>
      </c>
    </row>
    <row r="25">
      <c r="A25" s="53"/>
      <c r="B25" s="50" t="str">
        <f>IFERROR(__xludf.DUMMYFUNCTION("""COMPUTED_VALUE"""),"year                    ")</f>
        <v>year                    </v>
      </c>
      <c r="C25" s="53"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2" t="s">
        <v>19</v>
      </c>
      <c r="I25" s="52" t="s">
        <v>19</v>
      </c>
      <c r="J25" s="52" t="s">
        <v>19</v>
      </c>
      <c r="K25" s="52" t="str">
        <f t="shared" ref="K25:K28" si="2">K24</f>
        <v>Mpox</v>
      </c>
      <c r="M25" s="56"/>
    </row>
    <row r="26">
      <c r="A26" s="53"/>
      <c r="B26" s="50" t="str">
        <f>IFERROR(__xludf.DUMMYFUNCTION("""COMPUTED_VALUE"""),"month                    ")</f>
        <v>month                    </v>
      </c>
      <c r="C26" s="53"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2" t="s">
        <v>19</v>
      </c>
      <c r="I26" s="52" t="s">
        <v>19</v>
      </c>
      <c r="J26" s="52" t="s">
        <v>19</v>
      </c>
      <c r="K26" s="52" t="str">
        <f t="shared" si="2"/>
        <v>Mpox</v>
      </c>
      <c r="M26" s="55"/>
    </row>
    <row r="27">
      <c r="A27" s="53"/>
      <c r="B27" s="50" t="str">
        <f>IFERROR(__xludf.DUMMYFUNCTION("""COMPUTED_VALUE"""),"day                    ")</f>
        <v>day                    </v>
      </c>
      <c r="C27" s="53" t="str">
        <f>IFERROR(__xludf.DUMMYFUNCTION("""COMPUTED_VALUE"""),"UO:0000033")</f>
        <v>UO:0000033</v>
      </c>
      <c r="D27" s="29" t="str">
        <f>IFERROR(__xludf.DUMMYFUNCTION("""COMPUTED_VALUE"""),"A time unit which is equal to 24 hours.")</f>
        <v>A time unit which is equal to 24 hours.</v>
      </c>
      <c r="H27" s="52" t="s">
        <v>19</v>
      </c>
      <c r="I27" s="52" t="s">
        <v>19</v>
      </c>
      <c r="J27" s="52" t="s">
        <v>19</v>
      </c>
      <c r="K27" s="52" t="str">
        <f t="shared" si="2"/>
        <v>Mpox</v>
      </c>
      <c r="M27" s="55"/>
    </row>
    <row r="28">
      <c r="A28" s="53"/>
      <c r="B28" s="50" t="str">
        <f>IFERROR(__xludf.DUMMYFUNCTION("""COMPUTED_VALUE"""),"                    ")</f>
        <v>                    </v>
      </c>
      <c r="C28" s="53"/>
      <c r="D28" s="29" t="str">
        <f>IFERROR(__xludf.DUMMYFUNCTION("""COMPUTED_VALUE"""),"")</f>
        <v/>
      </c>
      <c r="H28" s="52" t="s">
        <v>19</v>
      </c>
      <c r="I28" s="52" t="s">
        <v>19</v>
      </c>
      <c r="J28" s="52" t="s">
        <v>19</v>
      </c>
      <c r="K28" s="52" t="str">
        <f t="shared" si="2"/>
        <v>Mpox</v>
      </c>
      <c r="M28" s="57"/>
    </row>
    <row r="29">
      <c r="A29" s="53" t="str">
        <f>IFERROR(__xludf.DUMMYFUNCTION("""COMPUTED_VALUE"""),"NML submitted specimen type menu")</f>
        <v>NML submitted specimen type menu</v>
      </c>
      <c r="B29" s="50" t="str">
        <f>IFERROR(__xludf.DUMMYFUNCTION("""COMPUTED_VALUE"""),"                    ")</f>
        <v>                    </v>
      </c>
      <c r="C29" s="53"/>
      <c r="D29" s="29" t="str">
        <f>IFERROR(__xludf.DUMMYFUNCTION("""COMPUTED_VALUE"""),"")</f>
        <v/>
      </c>
      <c r="E29" s="53"/>
      <c r="F29" s="53"/>
      <c r="G29" s="53"/>
      <c r="H29" s="53"/>
      <c r="I29" s="53"/>
      <c r="J29" s="53"/>
      <c r="K29" s="53" t="s">
        <v>29</v>
      </c>
      <c r="L29" s="53" t="str">
        <f>LEFT(A29, LEN(A29) - 5)
</f>
        <v>NML submitted specimen type</v>
      </c>
      <c r="M29" s="53" t="str">
        <f>VLOOKUP(L29,'Field Reference Guide'!$B$6:$N$220,13,false)</f>
        <v>Mpox</v>
      </c>
    </row>
    <row r="30">
      <c r="A30" s="53"/>
      <c r="B30" s="50" t="str">
        <f>IFERROR(__xludf.DUMMYFUNCTION("""COMPUTED_VALUE"""),"Bodily fluid                    ")</f>
        <v>Bodily fluid                    </v>
      </c>
      <c r="C30" s="53"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2" t="s">
        <v>19</v>
      </c>
      <c r="I30" s="52" t="s">
        <v>19</v>
      </c>
      <c r="J30" s="52" t="s">
        <v>19</v>
      </c>
      <c r="K30" s="52" t="str">
        <f t="shared" ref="K30:K38" si="3">K29</f>
        <v>Mpox</v>
      </c>
      <c r="M30" s="56"/>
    </row>
    <row r="31">
      <c r="A31" s="53"/>
      <c r="B31" s="50" t="str">
        <f>IFERROR(__xludf.DUMMYFUNCTION("""COMPUTED_VALUE"""),"DNA                    ")</f>
        <v>DNA                    </v>
      </c>
      <c r="C31" s="53"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2" t="s">
        <v>19</v>
      </c>
      <c r="I31" s="52" t="s">
        <v>19</v>
      </c>
      <c r="J31" s="52" t="s">
        <v>19</v>
      </c>
      <c r="K31" s="52" t="str">
        <f t="shared" si="3"/>
        <v>Mpox</v>
      </c>
      <c r="M31" s="55"/>
    </row>
    <row r="32">
      <c r="A32" s="53"/>
      <c r="B32" s="50" t="str">
        <f>IFERROR(__xludf.DUMMYFUNCTION("""COMPUTED_VALUE"""),"Nucleic acid                    ")</f>
        <v>Nucleic acid                    </v>
      </c>
      <c r="C32" s="53"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2" t="s">
        <v>19</v>
      </c>
      <c r="I32" s="52" t="s">
        <v>19</v>
      </c>
      <c r="J32" s="52" t="s">
        <v>19</v>
      </c>
      <c r="K32" s="52" t="str">
        <f t="shared" si="3"/>
        <v>Mpox</v>
      </c>
      <c r="M32" s="55"/>
    </row>
    <row r="33">
      <c r="A33" s="53"/>
      <c r="B33" s="50" t="str">
        <f>IFERROR(__xludf.DUMMYFUNCTION("""COMPUTED_VALUE"""),"RNA                    ")</f>
        <v>RNA                    </v>
      </c>
      <c r="C33" s="53"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2" t="s">
        <v>19</v>
      </c>
      <c r="I33" s="52" t="s">
        <v>19</v>
      </c>
      <c r="J33" s="52" t="s">
        <v>19</v>
      </c>
      <c r="K33" s="52" t="str">
        <f t="shared" si="3"/>
        <v>Mpox</v>
      </c>
      <c r="M33" s="55"/>
    </row>
    <row r="34">
      <c r="A34" s="53"/>
      <c r="B34" s="50" t="str">
        <f>IFERROR(__xludf.DUMMYFUNCTION("""COMPUTED_VALUE"""),"Swab                    ")</f>
        <v>Swab                    </v>
      </c>
      <c r="C34" s="53"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2" t="s">
        <v>19</v>
      </c>
      <c r="I34" s="52" t="s">
        <v>19</v>
      </c>
      <c r="J34" s="52" t="s">
        <v>19</v>
      </c>
      <c r="K34" s="52" t="str">
        <f t="shared" si="3"/>
        <v>Mpox</v>
      </c>
      <c r="M34" s="55"/>
    </row>
    <row r="35">
      <c r="A35" s="53"/>
      <c r="B35" s="50" t="str">
        <f>IFERROR(__xludf.DUMMYFUNCTION("""COMPUTED_VALUE"""),"Tissue                    ")</f>
        <v>Tissue                    </v>
      </c>
      <c r="C35" s="53"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2" t="s">
        <v>19</v>
      </c>
      <c r="I35" s="52" t="s">
        <v>19</v>
      </c>
      <c r="J35" s="52" t="s">
        <v>19</v>
      </c>
      <c r="K35" s="52" t="str">
        <f t="shared" si="3"/>
        <v>Mpox</v>
      </c>
      <c r="M35" s="55"/>
    </row>
    <row r="36">
      <c r="A36" s="53"/>
      <c r="B36" s="50" t="str">
        <f>IFERROR(__xludf.DUMMYFUNCTION("""COMPUTED_VALUE"""),"Not Applicable                    ")</f>
        <v>Not Applicable                    </v>
      </c>
      <c r="C36" s="53"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2" t="s">
        <v>19</v>
      </c>
      <c r="I36" s="52" t="s">
        <v>19</v>
      </c>
      <c r="J36" s="52" t="s">
        <v>19</v>
      </c>
      <c r="K36" s="52" t="str">
        <f t="shared" si="3"/>
        <v>Mpox</v>
      </c>
      <c r="M36" s="55"/>
    </row>
    <row r="37">
      <c r="A37" s="29"/>
      <c r="B37" s="50" t="str">
        <f>IFERROR(__xludf.DUMMYFUNCTION("""COMPUTED_VALUE"""),"                    ")</f>
        <v>                    </v>
      </c>
      <c r="C37" s="29"/>
      <c r="D37" s="29" t="str">
        <f>IFERROR(__xludf.DUMMYFUNCTION("""COMPUTED_VALUE"""),"")</f>
        <v/>
      </c>
      <c r="E37" s="29"/>
      <c r="F37" s="29"/>
      <c r="G37" s="29"/>
      <c r="H37" s="29"/>
      <c r="I37" s="29"/>
      <c r="J37" s="29"/>
      <c r="K37" s="52" t="str">
        <f t="shared" si="3"/>
        <v>Mpox</v>
      </c>
      <c r="M37" s="57"/>
    </row>
    <row r="38">
      <c r="A38" s="29"/>
      <c r="B38" s="50" t="str">
        <f>IFERROR(__xludf.DUMMYFUNCTION("""COMPUTED_VALUE"""),"                    ")</f>
        <v>                    </v>
      </c>
      <c r="C38" s="29"/>
      <c r="D38" s="29" t="str">
        <f>IFERROR(__xludf.DUMMYFUNCTION("""COMPUTED_VALUE"""),"")</f>
        <v/>
      </c>
      <c r="E38" s="29"/>
      <c r="F38" s="29"/>
      <c r="G38" s="29"/>
      <c r="H38" s="29"/>
      <c r="I38" s="29"/>
      <c r="J38" s="29"/>
      <c r="K38" s="52" t="str">
        <f t="shared" si="3"/>
        <v>Mpox</v>
      </c>
      <c r="M38" s="57"/>
    </row>
    <row r="39">
      <c r="A39" s="53" t="str">
        <f>IFERROR(__xludf.DUMMYFUNCTION("""COMPUTED_VALUE"""),"Related specimen relationship type menu")</f>
        <v>Related specimen relationship type menu</v>
      </c>
      <c r="B39" s="50" t="str">
        <f>IFERROR(__xludf.DUMMYFUNCTION("""COMPUTED_VALUE"""),"                    ")</f>
        <v>                    </v>
      </c>
      <c r="C39" s="53"/>
      <c r="D39" s="29" t="str">
        <f>IFERROR(__xludf.DUMMYFUNCTION("""COMPUTED_VALUE"""),"")</f>
        <v/>
      </c>
      <c r="E39" s="53"/>
      <c r="F39" s="53"/>
      <c r="G39" s="53"/>
      <c r="H39" s="53"/>
      <c r="I39" s="53"/>
      <c r="J39" s="53"/>
      <c r="K39" s="53" t="s">
        <v>29</v>
      </c>
      <c r="L39" s="53" t="str">
        <f>LEFT(A39, LEN(A39) - 5)
</f>
        <v>Related specimen relationship type</v>
      </c>
      <c r="M39" s="53" t="str">
        <f>VLOOKUP(L39,'Field Reference Guide'!$B$6:$N$220,13,false)</f>
        <v>Mpox</v>
      </c>
    </row>
    <row r="40">
      <c r="A40" s="53"/>
      <c r="B40" s="50" t="str">
        <f>IFERROR(__xludf.DUMMYFUNCTION("""COMPUTED_VALUE"""),"Acute                    ")</f>
        <v>Acute                    </v>
      </c>
      <c r="C40" s="53"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2" t="s">
        <v>19</v>
      </c>
      <c r="I40" s="52" t="s">
        <v>19</v>
      </c>
      <c r="J40" s="52" t="s">
        <v>19</v>
      </c>
      <c r="K40" s="52" t="str">
        <f t="shared" ref="K40:K47" si="4">K39</f>
        <v>Mpox</v>
      </c>
      <c r="M40" s="56"/>
    </row>
    <row r="41">
      <c r="A41" s="53"/>
      <c r="B41" s="50" t="str">
        <f>IFERROR(__xludf.DUMMYFUNCTION("""COMPUTED_VALUE"""),"Convalescent                    ")</f>
        <v>Convalescent                    </v>
      </c>
      <c r="C41" s="53"/>
      <c r="D41" s="29" t="str">
        <f>IFERROR(__xludf.DUMMYFUNCTION("""COMPUTED_VALUE"""),"A specimen collected from an individual during the recovery phase following the resolution of acute symptoms of a disease, often used to assess immune response or recovery progression.")</f>
        <v>A specimen collected from an individual during the recovery phase following the resolution of acute symptoms of a disease, often used to assess immune response or recovery progression.</v>
      </c>
      <c r="H41" s="52" t="s">
        <v>19</v>
      </c>
      <c r="I41" s="52" t="s">
        <v>19</v>
      </c>
      <c r="J41" s="52" t="s">
        <v>30</v>
      </c>
      <c r="K41" s="52" t="str">
        <f t="shared" si="4"/>
        <v>Mpox</v>
      </c>
      <c r="M41" s="55"/>
    </row>
    <row r="42">
      <c r="A42" s="53"/>
      <c r="B42" s="50" t="str">
        <f>IFERROR(__xludf.DUMMYFUNCTION("""COMPUTED_VALUE"""),"Familial                    ")</f>
        <v>Familial                    </v>
      </c>
      <c r="C42" s="53"/>
      <c r="D42" s="29" t="str">
        <f>IFERROR(__xludf.DUMMYFUNCTION("""COMPUTED_VALUE"""),"A specimen obtained from a relative of an individual, often used in studies examining genetic or hereditary factors, or familial transmission of conditions.")</f>
        <v>A specimen obtained from a relative of an individual, often used in studies examining genetic or hereditary factors, or familial transmission of conditions.</v>
      </c>
      <c r="H42" s="52" t="s">
        <v>19</v>
      </c>
      <c r="I42" s="52" t="s">
        <v>19</v>
      </c>
      <c r="J42" s="52" t="s">
        <v>30</v>
      </c>
      <c r="K42" s="52" t="str">
        <f t="shared" si="4"/>
        <v>Mpox</v>
      </c>
      <c r="M42" s="55"/>
    </row>
    <row r="43">
      <c r="A43" s="53"/>
      <c r="B43" s="50" t="str">
        <f>IFERROR(__xludf.DUMMYFUNCTION("""COMPUTED_VALUE"""),"Follow-up                    ")</f>
        <v>Follow-up                    </v>
      </c>
      <c r="C43" s="53"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2" t="s">
        <v>19</v>
      </c>
      <c r="I43" s="52" t="s">
        <v>19</v>
      </c>
      <c r="J43" s="52" t="s">
        <v>19</v>
      </c>
      <c r="K43" s="52" t="str">
        <f t="shared" si="4"/>
        <v>Mpox</v>
      </c>
      <c r="M43" s="55"/>
    </row>
    <row r="44">
      <c r="A44" s="53"/>
      <c r="B44" s="50" t="str">
        <f>IFERROR(__xludf.DUMMYFUNCTION("""COMPUTED_VALUE"""),"     Reinfection testing               ")</f>
        <v>     Reinfection testing               </v>
      </c>
      <c r="C44" s="53"/>
      <c r="D44" s="29" t="str">
        <f>IFERROR(__xludf.DUMMYFUNCTION("""COMPUTED_VALUE"""),"A specimen collected to determine if an individual has been re-exposed to and reinfected by a pathogen after an initial infection and recovery.")</f>
        <v>A specimen collected to determine if an individual has been re-exposed to and reinfected by a pathogen after an initial infection and recovery.</v>
      </c>
      <c r="H44" s="52" t="s">
        <v>19</v>
      </c>
      <c r="I44" s="52" t="s">
        <v>19</v>
      </c>
      <c r="J44" s="52" t="s">
        <v>30</v>
      </c>
      <c r="K44" s="52" t="str">
        <f t="shared" si="4"/>
        <v>Mpox</v>
      </c>
      <c r="M44" s="55"/>
    </row>
    <row r="45">
      <c r="A45" s="53"/>
      <c r="B45" s="50" t="str">
        <f>IFERROR(__xludf.DUMMYFUNCTION("""COMPUTED_VALUE"""),"Previously Submitted                    ")</f>
        <v>Previously Submitted                    </v>
      </c>
      <c r="C45" s="53"/>
      <c r="D45" s="29" t="str">
        <f>IFERROR(__xludf.DUMMYFUNCTION("""COMPUTED_VALUE"""),"A specimen that has been previously provided or used in a study or testing but is being considered for re-analysis or additional testing.")</f>
        <v>A specimen that has been previously provided or used in a study or testing but is being considered for re-analysis or additional testing.</v>
      </c>
      <c r="H45" s="52" t="s">
        <v>19</v>
      </c>
      <c r="I45" s="52" t="s">
        <v>19</v>
      </c>
      <c r="J45" s="52" t="s">
        <v>30</v>
      </c>
      <c r="K45" s="52" t="str">
        <f t="shared" si="4"/>
        <v>Mpox</v>
      </c>
      <c r="M45" s="55"/>
    </row>
    <row r="46">
      <c r="A46" s="53"/>
      <c r="B46" s="50" t="str">
        <f>IFERROR(__xludf.DUMMYFUNCTION("""COMPUTED_VALUE"""),"Sequencing/bioinformatics methods development/validation                    ")</f>
        <v>Sequencing/bioinformatics methods development/validation                    </v>
      </c>
      <c r="C46" s="53"/>
      <c r="D46" s="29" t="str">
        <f>IFERROR(__xludf.DUMMYFUNCTION("""COMPUTED_VALUE"""),"A specimen used specifically for the purpose of developing, testing, or validating sequencing or bioinformatics methodologies.")</f>
        <v>A specimen used specifically for the purpose of developing, testing, or validating sequencing or bioinformatics methodologies.</v>
      </c>
      <c r="H46" s="52" t="s">
        <v>19</v>
      </c>
      <c r="I46" s="52" t="s">
        <v>19</v>
      </c>
      <c r="J46" s="52" t="s">
        <v>30</v>
      </c>
      <c r="K46" s="52" t="str">
        <f t="shared" si="4"/>
        <v>Mpox</v>
      </c>
      <c r="M46" s="55"/>
    </row>
    <row r="47">
      <c r="A47" s="53"/>
      <c r="B47" s="50" t="str">
        <f>IFERROR(__xludf.DUMMYFUNCTION("""COMPUTED_VALUE"""),"Specimen sampling methods testing                    ")</f>
        <v>Specimen sampling methods testing                    </v>
      </c>
      <c r="C47" s="53"/>
      <c r="D47" s="29" t="str">
        <f>IFERROR(__xludf.DUMMYFUNCTION("""COMPUTED_VALUE"""),"A specimen used to test, refine, or validate methods and techniques for collecting and processing samples.")</f>
        <v>A specimen used to test, refine, or validate methods and techniques for collecting and processing samples.</v>
      </c>
      <c r="H47" s="52" t="s">
        <v>19</v>
      </c>
      <c r="I47" s="52" t="s">
        <v>19</v>
      </c>
      <c r="J47" s="52" t="s">
        <v>30</v>
      </c>
      <c r="K47" s="52" t="str">
        <f t="shared" si="4"/>
        <v>Mpox</v>
      </c>
      <c r="M47" s="55"/>
    </row>
    <row r="48">
      <c r="A48" s="53" t="str">
        <f>IFERROR(__xludf.DUMMYFUNCTION("""COMPUTED_VALUE"""),"anatomical material menu")</f>
        <v>anatomical material menu</v>
      </c>
      <c r="B48" s="50" t="str">
        <f>IFERROR(__xludf.DUMMYFUNCTION("""COMPUTED_VALUE"""),"                    ")</f>
        <v>                    </v>
      </c>
      <c r="C48" s="53"/>
      <c r="D48" s="29" t="str">
        <f>IFERROR(__xludf.DUMMYFUNCTION("""COMPUTED_VALUE"""),"")</f>
        <v/>
      </c>
      <c r="E48" s="53"/>
      <c r="F48" s="53"/>
      <c r="G48" s="53"/>
      <c r="H48" s="53"/>
      <c r="I48" s="53"/>
      <c r="J48" s="53"/>
      <c r="K48" s="53" t="s">
        <v>29</v>
      </c>
      <c r="L48" s="53" t="str">
        <f>LEFT(A48, LEN(A48) - 5)
</f>
        <v>anatomical material</v>
      </c>
      <c r="M48" s="53" t="str">
        <f>VLOOKUP(L48,'Field Reference Guide'!$B$6:$N$220,13,false)</f>
        <v>Mpox</v>
      </c>
    </row>
    <row r="49">
      <c r="A49" s="53"/>
      <c r="B49" s="50" t="str">
        <f>IFERROR(__xludf.DUMMYFUNCTION("""COMPUTED_VALUE"""),"Blood                    ")</f>
        <v>Blood                    </v>
      </c>
      <c r="C49" s="53" t="str">
        <f>IFERROR(__xludf.DUMMYFUNCTION("""COMPUTED_VALUE"""),"UBERON:0000178")</f>
        <v>UBERON:0000178</v>
      </c>
      <c r="D49" s="29" t="str">
        <f>IFERROR(__xludf.DUMMYFUNCTION("""COMPUTED_VALUE"""),"A fluid that is composed of blood plasma and erythrocytes.")</f>
        <v>A fluid that is composed of blood plasma and erythrocytes.</v>
      </c>
      <c r="H49" s="52" t="s">
        <v>19</v>
      </c>
      <c r="I49" s="52" t="s">
        <v>19</v>
      </c>
      <c r="J49" s="52" t="s">
        <v>19</v>
      </c>
      <c r="K49" s="52" t="str">
        <f t="shared" ref="K49:K70" si="5">K48</f>
        <v>Mpox</v>
      </c>
      <c r="M49" s="56"/>
    </row>
    <row r="50">
      <c r="A50" s="53"/>
      <c r="B50" s="50" t="str">
        <f>IFERROR(__xludf.DUMMYFUNCTION("""COMPUTED_VALUE"""),"     Blood clot               ")</f>
        <v>     Blood clot               </v>
      </c>
      <c r="C50" s="53"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2" t="s">
        <v>19</v>
      </c>
      <c r="I50" s="52" t="s">
        <v>19</v>
      </c>
      <c r="J50" s="52" t="s">
        <v>19</v>
      </c>
      <c r="K50" s="52" t="str">
        <f t="shared" si="5"/>
        <v>Mpox</v>
      </c>
      <c r="M50" s="55"/>
    </row>
    <row r="51">
      <c r="A51" s="53"/>
      <c r="B51" s="50" t="str">
        <f>IFERROR(__xludf.DUMMYFUNCTION("""COMPUTED_VALUE"""),"     Blood serum               ")</f>
        <v>     Blood serum               </v>
      </c>
      <c r="C51" s="53" t="str">
        <f>IFERROR(__xludf.DUMMYFUNCTION("""COMPUTED_VALUE"""),"UBERON:0001977")</f>
        <v>UBERON:0001977</v>
      </c>
      <c r="D51" s="29" t="str">
        <f>IFERROR(__xludf.DUMMYFUNCTION("""COMPUTED_VALUE"""),"The portion of blood plasma that excludes clotting factors.")</f>
        <v>The portion of blood plasma that excludes clotting factors.</v>
      </c>
      <c r="H51" s="52" t="s">
        <v>19</v>
      </c>
      <c r="I51" s="52" t="s">
        <v>19</v>
      </c>
      <c r="J51" s="52" t="s">
        <v>19</v>
      </c>
      <c r="K51" s="52" t="str">
        <f t="shared" si="5"/>
        <v>Mpox</v>
      </c>
      <c r="M51" s="55"/>
    </row>
    <row r="52">
      <c r="A52" s="53"/>
      <c r="B52" s="50" t="str">
        <f>IFERROR(__xludf.DUMMYFUNCTION("""COMPUTED_VALUE"""),"     Blood plasma               ")</f>
        <v>     Blood plasma               </v>
      </c>
      <c r="C52" s="53"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2" t="s">
        <v>19</v>
      </c>
      <c r="I52" s="52" t="s">
        <v>19</v>
      </c>
      <c r="J52" s="52" t="s">
        <v>19</v>
      </c>
      <c r="K52" s="52" t="str">
        <f t="shared" si="5"/>
        <v>Mpox</v>
      </c>
      <c r="M52" s="55"/>
    </row>
    <row r="53">
      <c r="A53" s="53"/>
      <c r="B53" s="50" t="str">
        <f>IFERROR(__xludf.DUMMYFUNCTION("""COMPUTED_VALUE"""),"     Whole blood               ")</f>
        <v>     Whole blood               </v>
      </c>
      <c r="C53" s="53"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2" t="s">
        <v>19</v>
      </c>
      <c r="I53" s="52" t="s">
        <v>19</v>
      </c>
      <c r="J53" s="52" t="s">
        <v>19</v>
      </c>
      <c r="K53" s="52" t="str">
        <f t="shared" si="5"/>
        <v>Mpox</v>
      </c>
      <c r="M53" s="55"/>
    </row>
    <row r="54">
      <c r="A54" s="53"/>
      <c r="B54" s="50" t="str">
        <f>IFERROR(__xludf.DUMMYFUNCTION("""COMPUTED_VALUE"""),"Fluid                    ")</f>
        <v>Fluid                    </v>
      </c>
      <c r="C54" s="53"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2" t="s">
        <v>19</v>
      </c>
      <c r="I54" s="52" t="s">
        <v>19</v>
      </c>
      <c r="J54" s="52" t="s">
        <v>19</v>
      </c>
      <c r="K54" s="52" t="str">
        <f t="shared" si="5"/>
        <v>Mpox</v>
      </c>
      <c r="M54" s="55"/>
    </row>
    <row r="55">
      <c r="A55" s="53"/>
      <c r="B55" s="50" t="str">
        <f>IFERROR(__xludf.DUMMYFUNCTION("""COMPUTED_VALUE"""),"     Saliva               ")</f>
        <v>     Saliva               </v>
      </c>
      <c r="C55" s="53"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2" t="s">
        <v>19</v>
      </c>
      <c r="I55" s="52" t="s">
        <v>19</v>
      </c>
      <c r="J55" s="52" t="s">
        <v>19</v>
      </c>
      <c r="K55" s="52" t="str">
        <f t="shared" si="5"/>
        <v>Mpox</v>
      </c>
      <c r="M55" s="55"/>
    </row>
    <row r="56">
      <c r="A56" s="53"/>
      <c r="B56" s="50" t="str">
        <f>IFERROR(__xludf.DUMMYFUNCTION("""COMPUTED_VALUE"""),"     Fluid (cerebrospinal (CSF))               ")</f>
        <v>     Fluid (cerebrospinal (CSF))               </v>
      </c>
      <c r="C56" s="53"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2" t="s">
        <v>19</v>
      </c>
      <c r="I56" s="52" t="s">
        <v>19</v>
      </c>
      <c r="J56" s="52" t="s">
        <v>19</v>
      </c>
      <c r="K56" s="52" t="str">
        <f t="shared" si="5"/>
        <v>Mpox</v>
      </c>
      <c r="M56" s="55"/>
    </row>
    <row r="57">
      <c r="A57" s="53"/>
      <c r="B57" s="50" t="str">
        <f>IFERROR(__xludf.DUMMYFUNCTION("""COMPUTED_VALUE"""),"     Fluid (pericardial)               ")</f>
        <v>     Fluid (pericardial)               </v>
      </c>
      <c r="C57" s="53" t="str">
        <f>IFERROR(__xludf.DUMMYFUNCTION("""COMPUTED_VALUE"""),"UBERON:0002409")</f>
        <v>UBERON:0002409</v>
      </c>
      <c r="D57" s="29" t="str">
        <f>IFERROR(__xludf.DUMMYFUNCTION("""COMPUTED_VALUE"""),"Transudate contained in the pericardial cavity.")</f>
        <v>Transudate contained in the pericardial cavity.</v>
      </c>
      <c r="H57" s="52" t="s">
        <v>19</v>
      </c>
      <c r="I57" s="52" t="s">
        <v>19</v>
      </c>
      <c r="J57" s="52" t="s">
        <v>19</v>
      </c>
      <c r="K57" s="52" t="str">
        <f t="shared" si="5"/>
        <v>Mpox</v>
      </c>
      <c r="M57" s="55"/>
    </row>
    <row r="58">
      <c r="A58" s="53"/>
      <c r="B58" s="50" t="str">
        <f>IFERROR(__xludf.DUMMYFUNCTION("""COMPUTED_VALUE"""),"     Fluid (pleural)               ")</f>
        <v>     Fluid (pleural)               </v>
      </c>
      <c r="C58" s="53" t="str">
        <f>IFERROR(__xludf.DUMMYFUNCTION("""COMPUTED_VALUE"""),"UBERON:0001087")</f>
        <v>UBERON:0001087</v>
      </c>
      <c r="D58" s="29" t="str">
        <f>IFERROR(__xludf.DUMMYFUNCTION("""COMPUTED_VALUE"""),"Transudate contained in the pleural cavity.")</f>
        <v>Transudate contained in the pleural cavity.</v>
      </c>
      <c r="H58" s="52" t="s">
        <v>19</v>
      </c>
      <c r="I58" s="52" t="s">
        <v>19</v>
      </c>
      <c r="J58" s="52" t="s">
        <v>19</v>
      </c>
      <c r="K58" s="52" t="str">
        <f t="shared" si="5"/>
        <v>Mpox</v>
      </c>
      <c r="M58" s="55"/>
    </row>
    <row r="59">
      <c r="A59" s="53"/>
      <c r="B59" s="50" t="str">
        <f>IFERROR(__xludf.DUMMYFUNCTION("""COMPUTED_VALUE"""),"     Fluid (vaginal)               ")</f>
        <v>     Fluid (vaginal)               </v>
      </c>
      <c r="C59" s="53"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2" t="s">
        <v>19</v>
      </c>
      <c r="I59" s="52" t="s">
        <v>19</v>
      </c>
      <c r="J59" s="52" t="s">
        <v>19</v>
      </c>
      <c r="K59" s="52" t="str">
        <f t="shared" si="5"/>
        <v>Mpox</v>
      </c>
      <c r="M59" s="55"/>
    </row>
    <row r="60">
      <c r="A60" s="53"/>
      <c r="B60" s="50" t="str">
        <f>IFERROR(__xludf.DUMMYFUNCTION("""COMPUTED_VALUE"""),"     Fluid (amniotic)               ")</f>
        <v>     Fluid (amniotic)               </v>
      </c>
      <c r="C60" s="53"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2" t="s">
        <v>19</v>
      </c>
      <c r="I60" s="52" t="s">
        <v>19</v>
      </c>
      <c r="J60" s="52" t="s">
        <v>19</v>
      </c>
      <c r="K60" s="52" t="str">
        <f t="shared" si="5"/>
        <v>Mpox</v>
      </c>
      <c r="M60" s="55"/>
    </row>
    <row r="61">
      <c r="A61" s="53"/>
      <c r="B61" s="50" t="str">
        <f>IFERROR(__xludf.DUMMYFUNCTION("""COMPUTED_VALUE"""),"Lesion                    ")</f>
        <v>Lesion                    </v>
      </c>
      <c r="C61" s="53"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2" t="s">
        <v>19</v>
      </c>
      <c r="I61" s="52" t="s">
        <v>19</v>
      </c>
      <c r="J61" s="52" t="s">
        <v>19</v>
      </c>
      <c r="K61" s="52" t="str">
        <f t="shared" si="5"/>
        <v>Mpox</v>
      </c>
      <c r="M61" s="55"/>
    </row>
    <row r="62">
      <c r="A62" s="53"/>
      <c r="B62" s="50" t="str">
        <f>IFERROR(__xludf.DUMMYFUNCTION("""COMPUTED_VALUE"""),"     Lesion (Macule)               ")</f>
        <v>     Lesion (Macule)               </v>
      </c>
      <c r="C62" s="53" t="str">
        <f>IFERROR(__xludf.DUMMYFUNCTION("""COMPUTED_VALUE"""),"NCIT:C43278")</f>
        <v>NCIT:C43278</v>
      </c>
      <c r="D62" s="29" t="str">
        <f>IFERROR(__xludf.DUMMYFUNCTION("""COMPUTED_VALUE"""),"A flat lesion characterized by change in the skin color.")</f>
        <v>A flat lesion characterized by change in the skin color.</v>
      </c>
      <c r="H62" s="52" t="s">
        <v>19</v>
      </c>
      <c r="I62" s="52" t="s">
        <v>19</v>
      </c>
      <c r="J62" s="52" t="s">
        <v>19</v>
      </c>
      <c r="K62" s="52" t="str">
        <f t="shared" si="5"/>
        <v>Mpox</v>
      </c>
      <c r="M62" s="55"/>
    </row>
    <row r="63">
      <c r="A63" s="53"/>
      <c r="B63" s="50" t="str">
        <f>IFERROR(__xludf.DUMMYFUNCTION("""COMPUTED_VALUE"""),"     Lesion (Papule)               ")</f>
        <v>     Lesion (Papule)               </v>
      </c>
      <c r="C63" s="53" t="str">
        <f>IFERROR(__xludf.DUMMYFUNCTION("""COMPUTED_VALUE"""),"NCIT:C39690")</f>
        <v>NCIT:C39690</v>
      </c>
      <c r="D63" s="29" t="str">
        <f>IFERROR(__xludf.DUMMYFUNCTION("""COMPUTED_VALUE"""),"A small (less than 5-10 mm) elevation of skin that is non-suppurative.")</f>
        <v>A small (less than 5-10 mm) elevation of skin that is non-suppurative.</v>
      </c>
      <c r="H63" s="52" t="s">
        <v>19</v>
      </c>
      <c r="I63" s="52" t="s">
        <v>19</v>
      </c>
      <c r="J63" s="52" t="s">
        <v>19</v>
      </c>
      <c r="K63" s="52" t="str">
        <f t="shared" si="5"/>
        <v>Mpox</v>
      </c>
      <c r="M63" s="55"/>
    </row>
    <row r="64">
      <c r="A64" s="53"/>
      <c r="B64" s="50" t="str">
        <f>IFERROR(__xludf.DUMMYFUNCTION("""COMPUTED_VALUE"""),"     Lesion (Pustule)               ")</f>
        <v>     Lesion (Pustule)               </v>
      </c>
      <c r="C64" s="53"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2" t="s">
        <v>19</v>
      </c>
      <c r="I64" s="52" t="s">
        <v>19</v>
      </c>
      <c r="J64" s="52" t="s">
        <v>19</v>
      </c>
      <c r="K64" s="52" t="str">
        <f t="shared" si="5"/>
        <v>Mpox</v>
      </c>
      <c r="M64" s="55"/>
    </row>
    <row r="65">
      <c r="A65" s="53"/>
      <c r="B65" s="50" t="str">
        <f>IFERROR(__xludf.DUMMYFUNCTION("""COMPUTED_VALUE"""),"     Lesion (Scab)               ")</f>
        <v>     Lesion (Scab)               </v>
      </c>
      <c r="C65" s="53" t="str">
        <f>IFERROR(__xludf.DUMMYFUNCTION("""COMPUTED_VALUE"""),"GENEPIO:0100490")</f>
        <v>GENEPIO:0100490</v>
      </c>
      <c r="D65"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H65" s="52" t="s">
        <v>19</v>
      </c>
      <c r="I65" s="52" t="s">
        <v>19</v>
      </c>
      <c r="J65" s="52" t="s">
        <v>19</v>
      </c>
      <c r="K65" s="52" t="str">
        <f t="shared" si="5"/>
        <v>Mpox</v>
      </c>
      <c r="M65" s="55"/>
    </row>
    <row r="66">
      <c r="A66" s="53"/>
      <c r="B66" s="50" t="str">
        <f>IFERROR(__xludf.DUMMYFUNCTION("""COMPUTED_VALUE"""),"     Lesion (Vesicle)               ")</f>
        <v>     Lesion (Vesicle)               </v>
      </c>
      <c r="C66" s="53" t="str">
        <f>IFERROR(__xludf.DUMMYFUNCTION("""COMPUTED_VALUE"""),"GENEPIO:0100491")</f>
        <v>GENEPIO:0100491</v>
      </c>
      <c r="D66"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H66" s="52" t="s">
        <v>19</v>
      </c>
      <c r="I66" s="52" t="s">
        <v>19</v>
      </c>
      <c r="J66" s="52" t="s">
        <v>19</v>
      </c>
      <c r="K66" s="52" t="str">
        <f t="shared" si="5"/>
        <v>Mpox</v>
      </c>
      <c r="M66" s="55"/>
    </row>
    <row r="67">
      <c r="A67" s="53"/>
      <c r="B67" s="50" t="str">
        <f>IFERROR(__xludf.DUMMYFUNCTION("""COMPUTED_VALUE"""),"Rash                    ")</f>
        <v>Rash                    </v>
      </c>
      <c r="C67" s="53"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2" t="s">
        <v>19</v>
      </c>
      <c r="I67" s="52" t="s">
        <v>19</v>
      </c>
      <c r="J67" s="52" t="s">
        <v>19</v>
      </c>
      <c r="K67" s="52" t="str">
        <f t="shared" si="5"/>
        <v>Mpox</v>
      </c>
      <c r="M67" s="55"/>
    </row>
    <row r="68">
      <c r="A68" s="53"/>
      <c r="B68" s="50" t="str">
        <f>IFERROR(__xludf.DUMMYFUNCTION("""COMPUTED_VALUE"""),"Ulcer                    ")</f>
        <v>Ulcer                    </v>
      </c>
      <c r="C68" s="53"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2" t="s">
        <v>19</v>
      </c>
      <c r="I68" s="52" t="s">
        <v>19</v>
      </c>
      <c r="J68" s="52" t="s">
        <v>19</v>
      </c>
      <c r="K68" s="52" t="str">
        <f t="shared" si="5"/>
        <v>Mpox</v>
      </c>
      <c r="M68" s="55"/>
    </row>
    <row r="69">
      <c r="A69" s="53"/>
      <c r="B69" s="50" t="str">
        <f>IFERROR(__xludf.DUMMYFUNCTION("""COMPUTED_VALUE"""),"Tissue                    ")</f>
        <v>Tissue                    </v>
      </c>
      <c r="C69" s="53"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2" t="s">
        <v>19</v>
      </c>
      <c r="I69" s="52" t="s">
        <v>19</v>
      </c>
      <c r="J69" s="52" t="s">
        <v>19</v>
      </c>
      <c r="K69" s="52" t="str">
        <f t="shared" si="5"/>
        <v>Mpox</v>
      </c>
      <c r="M69" s="55"/>
    </row>
    <row r="70">
      <c r="A70" s="53"/>
      <c r="B70" s="50" t="str">
        <f>IFERROR(__xludf.DUMMYFUNCTION("""COMPUTED_VALUE"""),"     Wound tissue (injury)               ")</f>
        <v>     Wound tissue (injury)               </v>
      </c>
      <c r="C70" s="53"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2" t="s">
        <v>19</v>
      </c>
      <c r="I70" s="52" t="s">
        <v>19</v>
      </c>
      <c r="J70" s="52" t="s">
        <v>19</v>
      </c>
      <c r="K70" s="52" t="str">
        <f t="shared" si="5"/>
        <v>Mpox</v>
      </c>
      <c r="M70" s="55"/>
    </row>
    <row r="71">
      <c r="A71" s="29" t="str">
        <f>IFERROR(__xludf.DUMMYFUNCTION("""COMPUTED_VALUE"""),"anatomical material international menu")</f>
        <v>anatomical material international menu</v>
      </c>
      <c r="B71" s="50" t="str">
        <f>IFERROR(__xludf.DUMMYFUNCTION("""COMPUTED_VALUE"""),"                    ")</f>
        <v>                    </v>
      </c>
      <c r="C71" s="29"/>
      <c r="D71" s="29" t="str">
        <f>IFERROR(__xludf.DUMMYFUNCTION("""COMPUTED_VALUE"""),"")</f>
        <v/>
      </c>
      <c r="E71" s="29"/>
      <c r="F71" s="29"/>
      <c r="G71" s="29"/>
      <c r="H71" s="29"/>
      <c r="I71" s="29"/>
      <c r="J71" s="29"/>
      <c r="K71" s="53" t="s">
        <v>31</v>
      </c>
      <c r="L71" s="29" t="str">
        <f>LEFT(A71, LEN(A71) - 5)
</f>
        <v>anatomical material international</v>
      </c>
      <c r="M71" s="58" t="s">
        <v>32</v>
      </c>
    </row>
    <row r="72">
      <c r="A72" s="29"/>
      <c r="B72" s="50"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4" t="s">
        <v>19</v>
      </c>
      <c r="I72" s="54" t="s">
        <v>19</v>
      </c>
      <c r="J72" s="54" t="s">
        <v>19</v>
      </c>
      <c r="K72" s="52" t="str">
        <f t="shared" ref="K72:K94" si="6">K71</f>
        <v>International</v>
      </c>
      <c r="M72" s="56"/>
    </row>
    <row r="73">
      <c r="A73" s="29"/>
      <c r="B73" s="50"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4" t="s">
        <v>19</v>
      </c>
      <c r="I73" s="54" t="s">
        <v>19</v>
      </c>
      <c r="J73" s="54" t="s">
        <v>19</v>
      </c>
      <c r="K73" s="52" t="str">
        <f t="shared" si="6"/>
        <v>International</v>
      </c>
      <c r="M73" s="55"/>
    </row>
    <row r="74">
      <c r="A74" s="29"/>
      <c r="B74" s="50"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4" t="s">
        <v>19</v>
      </c>
      <c r="I74" s="54" t="s">
        <v>19</v>
      </c>
      <c r="J74" s="54" t="s">
        <v>19</v>
      </c>
      <c r="K74" s="52" t="str">
        <f t="shared" si="6"/>
        <v>International</v>
      </c>
      <c r="M74" s="55"/>
    </row>
    <row r="75">
      <c r="A75" s="29"/>
      <c r="B75" s="50"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4" t="s">
        <v>19</v>
      </c>
      <c r="I75" s="54" t="s">
        <v>19</v>
      </c>
      <c r="J75" s="54" t="s">
        <v>19</v>
      </c>
      <c r="K75" s="52" t="str">
        <f t="shared" si="6"/>
        <v>International</v>
      </c>
      <c r="M75" s="55"/>
    </row>
    <row r="76">
      <c r="A76" s="29"/>
      <c r="B76" s="50"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4" t="s">
        <v>19</v>
      </c>
      <c r="I76" s="54" t="s">
        <v>19</v>
      </c>
      <c r="J76" s="54" t="s">
        <v>19</v>
      </c>
      <c r="K76" s="52" t="str">
        <f t="shared" si="6"/>
        <v>International</v>
      </c>
      <c r="M76" s="55"/>
    </row>
    <row r="77">
      <c r="A77" s="29"/>
      <c r="B77" s="50"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4" t="s">
        <v>19</v>
      </c>
      <c r="I77" s="54" t="s">
        <v>19</v>
      </c>
      <c r="J77" s="54" t="s">
        <v>19</v>
      </c>
      <c r="K77" s="52" t="str">
        <f t="shared" si="6"/>
        <v>International</v>
      </c>
      <c r="M77" s="55"/>
    </row>
    <row r="78">
      <c r="A78" s="29"/>
      <c r="B78" s="50"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4" t="s">
        <v>19</v>
      </c>
      <c r="I78" s="54" t="s">
        <v>19</v>
      </c>
      <c r="J78" s="54" t="s">
        <v>19</v>
      </c>
      <c r="K78" s="52" t="str">
        <f t="shared" si="6"/>
        <v>International</v>
      </c>
      <c r="M78" s="55"/>
    </row>
    <row r="79">
      <c r="A79" s="29"/>
      <c r="B79" s="50"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4" t="s">
        <v>19</v>
      </c>
      <c r="I79" s="54" t="s">
        <v>19</v>
      </c>
      <c r="J79" s="54" t="s">
        <v>19</v>
      </c>
      <c r="K79" s="52" t="str">
        <f t="shared" si="6"/>
        <v>International</v>
      </c>
      <c r="M79" s="55"/>
    </row>
    <row r="80">
      <c r="A80" s="29"/>
      <c r="B80" s="50"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4" t="s">
        <v>19</v>
      </c>
      <c r="I80" s="54" t="s">
        <v>19</v>
      </c>
      <c r="J80" s="54" t="s">
        <v>19</v>
      </c>
      <c r="K80" s="52" t="str">
        <f t="shared" si="6"/>
        <v>International</v>
      </c>
      <c r="M80" s="55"/>
    </row>
    <row r="81">
      <c r="A81" s="29"/>
      <c r="B81" s="50"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4" t="s">
        <v>19</v>
      </c>
      <c r="I81" s="54" t="s">
        <v>19</v>
      </c>
      <c r="J81" s="54" t="s">
        <v>19</v>
      </c>
      <c r="K81" s="52" t="str">
        <f t="shared" si="6"/>
        <v>International</v>
      </c>
      <c r="M81" s="55"/>
    </row>
    <row r="82">
      <c r="A82" s="29"/>
      <c r="B82" s="50"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4" t="s">
        <v>19</v>
      </c>
      <c r="I82" s="54" t="s">
        <v>19</v>
      </c>
      <c r="J82" s="54" t="s">
        <v>19</v>
      </c>
      <c r="K82" s="52" t="str">
        <f t="shared" si="6"/>
        <v>International</v>
      </c>
      <c r="M82" s="55"/>
    </row>
    <row r="83">
      <c r="A83" s="29"/>
      <c r="B83" s="50"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4" t="s">
        <v>19</v>
      </c>
      <c r="I83" s="54" t="s">
        <v>19</v>
      </c>
      <c r="J83" s="54" t="s">
        <v>19</v>
      </c>
      <c r="K83" s="52" t="str">
        <f t="shared" si="6"/>
        <v>International</v>
      </c>
      <c r="M83" s="55"/>
    </row>
    <row r="84">
      <c r="A84" s="29"/>
      <c r="B84" s="50"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4" t="s">
        <v>19</v>
      </c>
      <c r="I84" s="54" t="s">
        <v>19</v>
      </c>
      <c r="J84" s="54" t="s">
        <v>19</v>
      </c>
      <c r="K84" s="52" t="str">
        <f t="shared" si="6"/>
        <v>International</v>
      </c>
      <c r="M84" s="55"/>
    </row>
    <row r="85">
      <c r="A85" s="29"/>
      <c r="B85" s="50"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4" t="s">
        <v>19</v>
      </c>
      <c r="I85" s="54" t="s">
        <v>19</v>
      </c>
      <c r="J85" s="54" t="s">
        <v>19</v>
      </c>
      <c r="K85" s="52" t="str">
        <f t="shared" si="6"/>
        <v>International</v>
      </c>
      <c r="M85" s="55"/>
    </row>
    <row r="86">
      <c r="A86" s="29"/>
      <c r="B86" s="50"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4" t="s">
        <v>19</v>
      </c>
      <c r="I86" s="54" t="s">
        <v>19</v>
      </c>
      <c r="J86" s="54" t="s">
        <v>19</v>
      </c>
      <c r="K86" s="52" t="str">
        <f t="shared" si="6"/>
        <v>International</v>
      </c>
      <c r="M86" s="55"/>
    </row>
    <row r="87">
      <c r="A87" s="29"/>
      <c r="B87" s="50"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4" t="s">
        <v>19</v>
      </c>
      <c r="I87" s="54" t="s">
        <v>19</v>
      </c>
      <c r="J87" s="54" t="s">
        <v>19</v>
      </c>
      <c r="K87" s="52" t="str">
        <f t="shared" si="6"/>
        <v>International</v>
      </c>
      <c r="M87" s="55"/>
    </row>
    <row r="88">
      <c r="A88" s="29"/>
      <c r="B88" s="50" t="str">
        <f>IFERROR(__xludf.DUMMYFUNCTION("""COMPUTED_VALUE"""),"     Lesion (Scab) [GENEPIO:0100490]               ")</f>
        <v>     Lesion (Scab) [GENEPIO:0100490]               </v>
      </c>
      <c r="C88" s="29" t="str">
        <f>IFERROR(__xludf.DUMMYFUNCTION("""COMPUTED_VALUE"""),"GENEPIO:0100490")</f>
        <v>GENEPIO:0100490</v>
      </c>
      <c r="D88"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E88" s="29"/>
      <c r="F88" s="29"/>
      <c r="G88" s="29"/>
      <c r="H88" s="54" t="s">
        <v>19</v>
      </c>
      <c r="I88" s="54" t="s">
        <v>19</v>
      </c>
      <c r="J88" s="54" t="s">
        <v>19</v>
      </c>
      <c r="K88" s="52" t="str">
        <f t="shared" si="6"/>
        <v>International</v>
      </c>
      <c r="M88" s="55"/>
    </row>
    <row r="89">
      <c r="A89" s="29"/>
      <c r="B89" s="50" t="str">
        <f>IFERROR(__xludf.DUMMYFUNCTION("""COMPUTED_VALUE"""),"     Lesion (Vesicle) [GENEPIO:0100491]               ")</f>
        <v>     Lesion (Vesicle) [GENEPIO:0100491]               </v>
      </c>
      <c r="C89" s="29" t="str">
        <f>IFERROR(__xludf.DUMMYFUNCTION("""COMPUTED_VALUE"""),"GENEPIO:0100491")</f>
        <v>GENEPIO:0100491</v>
      </c>
      <c r="D89"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E89" s="29"/>
      <c r="F89" s="29"/>
      <c r="G89" s="29"/>
      <c r="H89" s="54" t="s">
        <v>19</v>
      </c>
      <c r="I89" s="54" t="s">
        <v>19</v>
      </c>
      <c r="J89" s="54" t="s">
        <v>19</v>
      </c>
      <c r="K89" s="52" t="str">
        <f t="shared" si="6"/>
        <v>International</v>
      </c>
      <c r="M89" s="55"/>
    </row>
    <row r="90">
      <c r="A90" s="29"/>
      <c r="B90" s="50"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4" t="s">
        <v>19</v>
      </c>
      <c r="I90" s="54" t="s">
        <v>19</v>
      </c>
      <c r="J90" s="54" t="s">
        <v>19</v>
      </c>
      <c r="K90" s="52" t="str">
        <f t="shared" si="6"/>
        <v>International</v>
      </c>
      <c r="M90" s="55"/>
    </row>
    <row r="91">
      <c r="A91" s="29"/>
      <c r="B91" s="50"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4" t="s">
        <v>19</v>
      </c>
      <c r="I91" s="54" t="s">
        <v>19</v>
      </c>
      <c r="J91" s="54" t="s">
        <v>19</v>
      </c>
      <c r="K91" s="52" t="str">
        <f t="shared" si="6"/>
        <v>International</v>
      </c>
      <c r="M91" s="55"/>
    </row>
    <row r="92">
      <c r="A92" s="29"/>
      <c r="B92" s="50"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4" t="s">
        <v>19</v>
      </c>
      <c r="I92" s="54" t="s">
        <v>19</v>
      </c>
      <c r="J92" s="54" t="s">
        <v>19</v>
      </c>
      <c r="K92" s="52" t="str">
        <f t="shared" si="6"/>
        <v>International</v>
      </c>
      <c r="M92" s="55"/>
    </row>
    <row r="93">
      <c r="A93" s="29"/>
      <c r="B93" s="50"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4" t="s">
        <v>19</v>
      </c>
      <c r="I93" s="54" t="s">
        <v>19</v>
      </c>
      <c r="J93" s="54" t="s">
        <v>19</v>
      </c>
      <c r="K93" s="52" t="str">
        <f t="shared" si="6"/>
        <v>International</v>
      </c>
      <c r="M93" s="55"/>
    </row>
    <row r="94">
      <c r="A94" s="29"/>
      <c r="B94" s="50" t="str">
        <f>IFERROR(__xludf.DUMMYFUNCTION("""COMPUTED_VALUE"""),"                    ")</f>
        <v>                    </v>
      </c>
      <c r="C94" s="29"/>
      <c r="D94" s="29" t="str">
        <f>IFERROR(__xludf.DUMMYFUNCTION("""COMPUTED_VALUE"""),"")</f>
        <v/>
      </c>
      <c r="E94" s="29"/>
      <c r="F94" s="29"/>
      <c r="G94" s="29"/>
      <c r="H94" s="54" t="s">
        <v>19</v>
      </c>
      <c r="I94" s="54" t="s">
        <v>19</v>
      </c>
      <c r="J94" s="54" t="s">
        <v>19</v>
      </c>
      <c r="K94" s="52" t="str">
        <f t="shared" si="6"/>
        <v>International</v>
      </c>
      <c r="M94" s="57"/>
    </row>
    <row r="95">
      <c r="A95" s="53" t="str">
        <f>IFERROR(__xludf.DUMMYFUNCTION("""COMPUTED_VALUE"""),"anatomical part menu")</f>
        <v>anatomical part menu</v>
      </c>
      <c r="B95" s="50" t="str">
        <f>IFERROR(__xludf.DUMMYFUNCTION("""COMPUTED_VALUE"""),"                    ")</f>
        <v>                    </v>
      </c>
      <c r="C95" s="53"/>
      <c r="D95" s="29" t="str">
        <f>IFERROR(__xludf.DUMMYFUNCTION("""COMPUTED_VALUE"""),"")</f>
        <v/>
      </c>
      <c r="E95" s="53"/>
      <c r="F95" s="53"/>
      <c r="G95" s="53"/>
      <c r="H95" s="53"/>
      <c r="I95" s="53"/>
      <c r="J95" s="53"/>
      <c r="K95" s="53" t="s">
        <v>29</v>
      </c>
      <c r="L95" s="53" t="str">
        <f>LEFT(A95, LEN(A95) - 5)
</f>
        <v>anatomical part</v>
      </c>
      <c r="M95" s="53" t="str">
        <f>VLOOKUP(L95,'Field Reference Guide'!$B$6:$N$220,13,false)</f>
        <v>Mpox</v>
      </c>
    </row>
    <row r="96">
      <c r="A96" s="53"/>
      <c r="B96" s="50" t="str">
        <f>IFERROR(__xludf.DUMMYFUNCTION("""COMPUTED_VALUE"""),"Anus                    ")</f>
        <v>Anus                    </v>
      </c>
      <c r="C96" s="53"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2" t="s">
        <v>19</v>
      </c>
      <c r="I96" s="52" t="s">
        <v>19</v>
      </c>
      <c r="J96" s="52" t="s">
        <v>19</v>
      </c>
      <c r="K96" s="52" t="str">
        <f t="shared" ref="K96:K148" si="7">K95</f>
        <v>Mpox</v>
      </c>
      <c r="M96" s="56"/>
    </row>
    <row r="97">
      <c r="A97" s="53"/>
      <c r="B97" s="50" t="str">
        <f>IFERROR(__xludf.DUMMYFUNCTION("""COMPUTED_VALUE"""),"     Perianal skin               ")</f>
        <v>     Perianal skin               </v>
      </c>
      <c r="C97" s="53" t="str">
        <f>IFERROR(__xludf.DUMMYFUNCTION("""COMPUTED_VALUE"""),"UBERON:0012336")</f>
        <v>UBERON:0012336</v>
      </c>
      <c r="D97" s="29" t="str">
        <f>IFERROR(__xludf.DUMMYFUNCTION("""COMPUTED_VALUE"""),"A zone of skin that is part of the area surrounding the anus.")</f>
        <v>A zone of skin that is part of the area surrounding the anus.</v>
      </c>
      <c r="H97" s="52" t="s">
        <v>19</v>
      </c>
      <c r="I97" s="52" t="s">
        <v>19</v>
      </c>
      <c r="J97" s="52" t="s">
        <v>19</v>
      </c>
      <c r="K97" s="52" t="str">
        <f t="shared" si="7"/>
        <v>Mpox</v>
      </c>
      <c r="M97" s="55"/>
    </row>
    <row r="98">
      <c r="A98" s="53"/>
      <c r="B98" s="50" t="str">
        <f>IFERROR(__xludf.DUMMYFUNCTION("""COMPUTED_VALUE"""),"Arm                    ")</f>
        <v>Arm                    </v>
      </c>
      <c r="C98" s="53"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2" t="s">
        <v>19</v>
      </c>
      <c r="I98" s="52" t="s">
        <v>19</v>
      </c>
      <c r="J98" s="52" t="s">
        <v>19</v>
      </c>
      <c r="K98" s="52" t="str">
        <f t="shared" si="7"/>
        <v>Mpox</v>
      </c>
      <c r="M98" s="55"/>
    </row>
    <row r="99">
      <c r="A99" s="53"/>
      <c r="B99" s="50" t="str">
        <f>IFERROR(__xludf.DUMMYFUNCTION("""COMPUTED_VALUE"""),"     Arm (forearm)               ")</f>
        <v>     Arm (forearm)               </v>
      </c>
      <c r="C99" s="53" t="str">
        <f>IFERROR(__xludf.DUMMYFUNCTION("""COMPUTED_VALUE"""),"NCIT:C32628")</f>
        <v>NCIT:C32628</v>
      </c>
      <c r="D99" s="29" t="str">
        <f>IFERROR(__xludf.DUMMYFUNCTION("""COMPUTED_VALUE"""),"The structure on the upper limb, between the elbow and the wrist.")</f>
        <v>The structure on the upper limb, between the elbow and the wrist.</v>
      </c>
      <c r="H99" s="52" t="s">
        <v>19</v>
      </c>
      <c r="I99" s="52" t="s">
        <v>19</v>
      </c>
      <c r="J99" s="52" t="s">
        <v>19</v>
      </c>
      <c r="K99" s="52" t="str">
        <f t="shared" si="7"/>
        <v>Mpox</v>
      </c>
      <c r="M99" s="55"/>
    </row>
    <row r="100">
      <c r="A100" s="53"/>
      <c r="B100" s="50" t="str">
        <f>IFERROR(__xludf.DUMMYFUNCTION("""COMPUTED_VALUE"""),"     Elbow               ")</f>
        <v>     Elbow               </v>
      </c>
      <c r="C100" s="53"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2" t="s">
        <v>19</v>
      </c>
      <c r="I100" s="52" t="s">
        <v>19</v>
      </c>
      <c r="J100" s="52" t="s">
        <v>19</v>
      </c>
      <c r="K100" s="52" t="str">
        <f t="shared" si="7"/>
        <v>Mpox</v>
      </c>
      <c r="M100" s="55"/>
    </row>
    <row r="101">
      <c r="A101" s="53"/>
      <c r="B101" s="50" t="str">
        <f>IFERROR(__xludf.DUMMYFUNCTION("""COMPUTED_VALUE"""),"Back                    ")</f>
        <v>Back                    </v>
      </c>
      <c r="C101" s="53" t="str">
        <f>IFERROR(__xludf.DUMMYFUNCTION("""COMPUTED_VALUE"""),"FMA:14181")</f>
        <v>FMA:14181</v>
      </c>
      <c r="D101" s="29" t="str">
        <f>IFERROR(__xludf.DUMMYFUNCTION("""COMPUTED_VALUE"""),"The rear surface of the human body from the shoulders to the hips.")</f>
        <v>The rear surface of the human body from the shoulders to the hips.</v>
      </c>
      <c r="H101" s="52" t="s">
        <v>19</v>
      </c>
      <c r="I101" s="52" t="s">
        <v>19</v>
      </c>
      <c r="J101" s="52" t="s">
        <v>19</v>
      </c>
      <c r="K101" s="52" t="str">
        <f t="shared" si="7"/>
        <v>Mpox</v>
      </c>
      <c r="M101" s="55"/>
    </row>
    <row r="102">
      <c r="A102" s="53"/>
      <c r="B102" s="50" t="str">
        <f>IFERROR(__xludf.DUMMYFUNCTION("""COMPUTED_VALUE"""),"Buttock                    ")</f>
        <v>Buttock                    </v>
      </c>
      <c r="C102" s="53"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2" t="s">
        <v>19</v>
      </c>
      <c r="I102" s="52" t="s">
        <v>19</v>
      </c>
      <c r="J102" s="52" t="s">
        <v>19</v>
      </c>
      <c r="K102" s="52" t="str">
        <f t="shared" si="7"/>
        <v>Mpox</v>
      </c>
      <c r="M102" s="55"/>
    </row>
    <row r="103">
      <c r="A103" s="53"/>
      <c r="B103" s="50" t="str">
        <f>IFERROR(__xludf.DUMMYFUNCTION("""COMPUTED_VALUE"""),"Cervix                    ")</f>
        <v>Cervix                    </v>
      </c>
      <c r="C103" s="53"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2" t="s">
        <v>19</v>
      </c>
      <c r="I103" s="52" t="s">
        <v>19</v>
      </c>
      <c r="J103" s="52" t="s">
        <v>19</v>
      </c>
      <c r="K103" s="52" t="str">
        <f t="shared" si="7"/>
        <v>Mpox</v>
      </c>
      <c r="M103" s="55"/>
    </row>
    <row r="104">
      <c r="A104" s="53"/>
      <c r="B104" s="50" t="str">
        <f>IFERROR(__xludf.DUMMYFUNCTION("""COMPUTED_VALUE"""),"Chest                    ")</f>
        <v>Chest                    </v>
      </c>
      <c r="C104" s="53"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2" t="s">
        <v>19</v>
      </c>
      <c r="I104" s="52" t="s">
        <v>19</v>
      </c>
      <c r="J104" s="52" t="s">
        <v>19</v>
      </c>
      <c r="K104" s="52" t="str">
        <f t="shared" si="7"/>
        <v>Mpox</v>
      </c>
      <c r="M104" s="55"/>
    </row>
    <row r="105">
      <c r="A105" s="53"/>
      <c r="B105" s="50" t="str">
        <f>IFERROR(__xludf.DUMMYFUNCTION("""COMPUTED_VALUE"""),"Foot                    ")</f>
        <v>Foot                    </v>
      </c>
      <c r="C105" s="53"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2" t="s">
        <v>19</v>
      </c>
      <c r="I105" s="52" t="s">
        <v>19</v>
      </c>
      <c r="J105" s="52" t="s">
        <v>19</v>
      </c>
      <c r="K105" s="52" t="str">
        <f t="shared" si="7"/>
        <v>Mpox</v>
      </c>
      <c r="M105" s="55"/>
    </row>
    <row r="106">
      <c r="A106" s="53"/>
      <c r="B106" s="50" t="str">
        <f>IFERROR(__xludf.DUMMYFUNCTION("""COMPUTED_VALUE"""),"Genital area                    ")</f>
        <v>Genital area                    </v>
      </c>
      <c r="C106" s="53"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2" t="s">
        <v>19</v>
      </c>
      <c r="I106" s="52" t="s">
        <v>19</v>
      </c>
      <c r="J106" s="52" t="s">
        <v>19</v>
      </c>
      <c r="K106" s="52" t="str">
        <f t="shared" si="7"/>
        <v>Mpox</v>
      </c>
      <c r="M106" s="55"/>
    </row>
    <row r="107">
      <c r="A107" s="53"/>
      <c r="B107" s="50" t="str">
        <f>IFERROR(__xludf.DUMMYFUNCTION("""COMPUTED_VALUE"""),"     Penis               ")</f>
        <v>     Penis               </v>
      </c>
      <c r="C107" s="53"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2" t="s">
        <v>19</v>
      </c>
      <c r="I107" s="52" t="s">
        <v>19</v>
      </c>
      <c r="J107" s="52" t="s">
        <v>19</v>
      </c>
      <c r="K107" s="52" t="str">
        <f t="shared" si="7"/>
        <v>Mpox</v>
      </c>
      <c r="M107" s="55"/>
    </row>
    <row r="108">
      <c r="A108" s="53"/>
      <c r="B108" s="50" t="str">
        <f>IFERROR(__xludf.DUMMYFUNCTION("""COMPUTED_VALUE"""),"          Glans (tip of penis)          ")</f>
        <v>          Glans (tip of penis)          </v>
      </c>
      <c r="C108" s="53" t="str">
        <f>IFERROR(__xludf.DUMMYFUNCTION("""COMPUTED_VALUE"""),"UBERON:0035651")</f>
        <v>UBERON:0035651</v>
      </c>
      <c r="D108" s="29" t="str">
        <f>IFERROR(__xludf.DUMMYFUNCTION("""COMPUTED_VALUE"""),"The bulbous structure at the distal end of the human penis")</f>
        <v>The bulbous structure at the distal end of the human penis</v>
      </c>
      <c r="H108" s="52" t="s">
        <v>19</v>
      </c>
      <c r="I108" s="52" t="s">
        <v>19</v>
      </c>
      <c r="J108" s="52" t="s">
        <v>19</v>
      </c>
      <c r="K108" s="52" t="str">
        <f t="shared" si="7"/>
        <v>Mpox</v>
      </c>
      <c r="M108" s="55"/>
    </row>
    <row r="109">
      <c r="A109" s="53"/>
      <c r="B109" s="50" t="str">
        <f>IFERROR(__xludf.DUMMYFUNCTION("""COMPUTED_VALUE"""),"          Prepuce of penis (foreskin)          ")</f>
        <v>          Prepuce of penis (foreskin)          </v>
      </c>
      <c r="C109" s="53"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2" t="s">
        <v>19</v>
      </c>
      <c r="I109" s="52" t="s">
        <v>19</v>
      </c>
      <c r="J109" s="52" t="s">
        <v>19</v>
      </c>
      <c r="K109" s="52" t="str">
        <f t="shared" si="7"/>
        <v>Mpox</v>
      </c>
      <c r="M109" s="55"/>
    </row>
    <row r="110">
      <c r="A110" s="53"/>
      <c r="B110" s="50" t="str">
        <f>IFERROR(__xludf.DUMMYFUNCTION("""COMPUTED_VALUE"""),"     Perineum               ")</f>
        <v>     Perineum               </v>
      </c>
      <c r="C110" s="53"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2" t="s">
        <v>19</v>
      </c>
      <c r="I110" s="52" t="s">
        <v>19</v>
      </c>
      <c r="J110" s="52" t="s">
        <v>19</v>
      </c>
      <c r="K110" s="52" t="str">
        <f t="shared" si="7"/>
        <v>Mpox</v>
      </c>
      <c r="M110" s="55"/>
    </row>
    <row r="111">
      <c r="A111" s="53"/>
      <c r="B111" s="50" t="str">
        <f>IFERROR(__xludf.DUMMYFUNCTION("""COMPUTED_VALUE"""),"     Scrotum               ")</f>
        <v>     Scrotum               </v>
      </c>
      <c r="C111" s="53"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2" t="s">
        <v>19</v>
      </c>
      <c r="I111" s="52" t="s">
        <v>19</v>
      </c>
      <c r="J111" s="52" t="s">
        <v>19</v>
      </c>
      <c r="K111" s="52" t="str">
        <f t="shared" si="7"/>
        <v>Mpox</v>
      </c>
      <c r="M111" s="55"/>
    </row>
    <row r="112">
      <c r="A112" s="53"/>
      <c r="B112" s="50" t="str">
        <f>IFERROR(__xludf.DUMMYFUNCTION("""COMPUTED_VALUE"""),"     Vagina               ")</f>
        <v>     Vagina               </v>
      </c>
      <c r="C112" s="53"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2" t="s">
        <v>19</v>
      </c>
      <c r="I112" s="52" t="s">
        <v>19</v>
      </c>
      <c r="J112" s="52" t="s">
        <v>19</v>
      </c>
      <c r="K112" s="52" t="str">
        <f t="shared" si="7"/>
        <v>Mpox</v>
      </c>
      <c r="M112" s="55"/>
    </row>
    <row r="113">
      <c r="A113" s="53"/>
      <c r="B113" s="50" t="str">
        <f>IFERROR(__xludf.DUMMYFUNCTION("""COMPUTED_VALUE"""),"Gland                    ")</f>
        <v>Gland                    </v>
      </c>
      <c r="C113" s="53" t="str">
        <f>IFERROR(__xludf.DUMMYFUNCTION("""COMPUTED_VALUE"""),"UBERON:0002530")</f>
        <v>UBERON:0002530</v>
      </c>
      <c r="D113" s="29" t="str">
        <f>IFERROR(__xludf.DUMMYFUNCTION("""COMPUTED_VALUE"""),"An organ that functions as a secretory or excretory organ.")</f>
        <v>An organ that functions as a secretory or excretory organ.</v>
      </c>
      <c r="H113" s="52" t="s">
        <v>19</v>
      </c>
      <c r="I113" s="52" t="s">
        <v>19</v>
      </c>
      <c r="J113" s="52" t="s">
        <v>19</v>
      </c>
      <c r="K113" s="52" t="str">
        <f t="shared" si="7"/>
        <v>Mpox</v>
      </c>
      <c r="M113" s="55"/>
    </row>
    <row r="114">
      <c r="A114" s="53"/>
      <c r="B114" s="50" t="str">
        <f>IFERROR(__xludf.DUMMYFUNCTION("""COMPUTED_VALUE"""),"Hand                    ")</f>
        <v>Hand                    </v>
      </c>
      <c r="C114" s="53"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2" t="s">
        <v>19</v>
      </c>
      <c r="I114" s="52" t="s">
        <v>19</v>
      </c>
      <c r="J114" s="52" t="s">
        <v>19</v>
      </c>
      <c r="K114" s="52" t="str">
        <f t="shared" si="7"/>
        <v>Mpox</v>
      </c>
      <c r="M114" s="55"/>
    </row>
    <row r="115">
      <c r="A115" s="53"/>
      <c r="B115" s="50" t="str">
        <f>IFERROR(__xludf.DUMMYFUNCTION("""COMPUTED_VALUE"""),"     Finger               ")</f>
        <v>     Finger               </v>
      </c>
      <c r="C115" s="53"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2" t="s">
        <v>19</v>
      </c>
      <c r="I115" s="52" t="s">
        <v>19</v>
      </c>
      <c r="J115" s="52" t="s">
        <v>19</v>
      </c>
      <c r="K115" s="52" t="str">
        <f t="shared" si="7"/>
        <v>Mpox</v>
      </c>
      <c r="M115" s="55"/>
    </row>
    <row r="116">
      <c r="A116" s="53"/>
      <c r="B116" s="50" t="str">
        <f>IFERROR(__xludf.DUMMYFUNCTION("""COMPUTED_VALUE"""),"     Hand (palm)               ")</f>
        <v>     Hand (palm)               </v>
      </c>
      <c r="C116" s="53" t="str">
        <f>IFERROR(__xludf.DUMMYFUNCTION("""COMPUTED_VALUE"""),"FMA:24920")</f>
        <v>FMA:24920</v>
      </c>
      <c r="D116" s="29" t="str">
        <f>IFERROR(__xludf.DUMMYFUNCTION("""COMPUTED_VALUE"""),"The inner surface of the hand between the wrist and fingers.")</f>
        <v>The inner surface of the hand between the wrist and fingers.</v>
      </c>
      <c r="H116" s="52" t="s">
        <v>19</v>
      </c>
      <c r="I116" s="52" t="s">
        <v>19</v>
      </c>
      <c r="J116" s="52" t="s">
        <v>19</v>
      </c>
      <c r="K116" s="52" t="str">
        <f t="shared" si="7"/>
        <v>Mpox</v>
      </c>
      <c r="M116" s="55"/>
    </row>
    <row r="117">
      <c r="A117" s="53"/>
      <c r="B117" s="50" t="str">
        <f>IFERROR(__xludf.DUMMYFUNCTION("""COMPUTED_VALUE"""),"Head                    ")</f>
        <v>Head                    </v>
      </c>
      <c r="C117" s="53" t="str">
        <f>IFERROR(__xludf.DUMMYFUNCTION("""COMPUTED_VALUE"""),"UBERON:0000033")</f>
        <v>UBERON:0000033</v>
      </c>
      <c r="D117" s="29" t="str">
        <f>IFERROR(__xludf.DUMMYFUNCTION("""COMPUTED_VALUE"""),"The head is the anterior-most division of the body.")</f>
        <v>The head is the anterior-most division of the body.</v>
      </c>
      <c r="H117" s="52" t="s">
        <v>19</v>
      </c>
      <c r="I117" s="52" t="s">
        <v>19</v>
      </c>
      <c r="J117" s="52" t="s">
        <v>19</v>
      </c>
      <c r="K117" s="52" t="str">
        <f t="shared" si="7"/>
        <v>Mpox</v>
      </c>
      <c r="M117" s="55"/>
    </row>
    <row r="118">
      <c r="A118" s="53"/>
      <c r="B118" s="50" t="str">
        <f>IFERROR(__xludf.DUMMYFUNCTION("""COMPUTED_VALUE"""),"     Buccal mucosa               ")</f>
        <v>     Buccal mucosa               </v>
      </c>
      <c r="C118" s="53" t="str">
        <f>IFERROR(__xludf.DUMMYFUNCTION("""COMPUTED_VALUE"""),"UBERON:0006956")</f>
        <v>UBERON:0006956</v>
      </c>
      <c r="D118" s="29" t="str">
        <f>IFERROR(__xludf.DUMMYFUNCTION("""COMPUTED_VALUE"""),"The inner lining of the cheeks and lips.")</f>
        <v>The inner lining of the cheeks and lips.</v>
      </c>
      <c r="H118" s="52" t="s">
        <v>19</v>
      </c>
      <c r="I118" s="52" t="s">
        <v>19</v>
      </c>
      <c r="J118" s="52" t="s">
        <v>19</v>
      </c>
      <c r="K118" s="52" t="str">
        <f t="shared" si="7"/>
        <v>Mpox</v>
      </c>
      <c r="M118" s="55"/>
    </row>
    <row r="119">
      <c r="A119" s="53"/>
      <c r="B119" s="50" t="str">
        <f>IFERROR(__xludf.DUMMYFUNCTION("""COMPUTED_VALUE"""),"     Cheek               ")</f>
        <v>     Cheek               </v>
      </c>
      <c r="C119" s="53"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2" t="s">
        <v>19</v>
      </c>
      <c r="I119" s="52" t="s">
        <v>19</v>
      </c>
      <c r="J119" s="52" t="s">
        <v>19</v>
      </c>
      <c r="K119" s="52" t="str">
        <f t="shared" si="7"/>
        <v>Mpox</v>
      </c>
      <c r="M119" s="55"/>
    </row>
    <row r="120">
      <c r="A120" s="53"/>
      <c r="B120" s="50" t="str">
        <f>IFERROR(__xludf.DUMMYFUNCTION("""COMPUTED_VALUE"""),"     Ear               ")</f>
        <v>     Ear               </v>
      </c>
      <c r="C120" s="53"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2" t="s">
        <v>19</v>
      </c>
      <c r="I120" s="52" t="s">
        <v>19</v>
      </c>
      <c r="J120" s="52" t="s">
        <v>19</v>
      </c>
      <c r="K120" s="52" t="str">
        <f t="shared" si="7"/>
        <v>Mpox</v>
      </c>
      <c r="M120" s="55"/>
    </row>
    <row r="121">
      <c r="A121" s="53"/>
      <c r="B121" s="50" t="str">
        <f>IFERROR(__xludf.DUMMYFUNCTION("""COMPUTED_VALUE"""),"          Preauricular region          ")</f>
        <v>          Preauricular region          </v>
      </c>
      <c r="C121" s="53" t="str">
        <f>IFERROR(__xludf.DUMMYFUNCTION("""COMPUTED_VALUE"""),"NCIT:C103848")</f>
        <v>NCIT:C103848</v>
      </c>
      <c r="D121" s="29" t="str">
        <f>IFERROR(__xludf.DUMMYFUNCTION("""COMPUTED_VALUE"""),"Of or pertaining to the area in front of the auricle of the ear.")</f>
        <v>Of or pertaining to the area in front of the auricle of the ear.</v>
      </c>
      <c r="H121" s="52" t="s">
        <v>19</v>
      </c>
      <c r="I121" s="52" t="s">
        <v>19</v>
      </c>
      <c r="J121" s="52" t="s">
        <v>19</v>
      </c>
      <c r="K121" s="52" t="str">
        <f t="shared" si="7"/>
        <v>Mpox</v>
      </c>
      <c r="M121" s="55"/>
    </row>
    <row r="122">
      <c r="A122" s="53"/>
      <c r="B122" s="50" t="str">
        <f>IFERROR(__xludf.DUMMYFUNCTION("""COMPUTED_VALUE"""),"     Eye               ")</f>
        <v>     Eye               </v>
      </c>
      <c r="C122" s="53" t="str">
        <f>IFERROR(__xludf.DUMMYFUNCTION("""COMPUTED_VALUE"""),"UBERON:0000970")</f>
        <v>UBERON:0000970</v>
      </c>
      <c r="D122" s="29" t="str">
        <f>IFERROR(__xludf.DUMMYFUNCTION("""COMPUTED_VALUE"""),"An organ that detects light.")</f>
        <v>An organ that detects light.</v>
      </c>
      <c r="H122" s="52" t="s">
        <v>19</v>
      </c>
      <c r="I122" s="52" t="s">
        <v>19</v>
      </c>
      <c r="J122" s="52" t="s">
        <v>19</v>
      </c>
      <c r="K122" s="52" t="str">
        <f t="shared" si="7"/>
        <v>Mpox</v>
      </c>
      <c r="M122" s="55"/>
    </row>
    <row r="123">
      <c r="A123" s="53"/>
      <c r="B123" s="50" t="str">
        <f>IFERROR(__xludf.DUMMYFUNCTION("""COMPUTED_VALUE"""),"     Face               ")</f>
        <v>     Face               </v>
      </c>
      <c r="C123" s="53"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2" t="s">
        <v>19</v>
      </c>
      <c r="I123" s="52" t="s">
        <v>19</v>
      </c>
      <c r="J123" s="52" t="s">
        <v>19</v>
      </c>
      <c r="K123" s="52" t="str">
        <f t="shared" si="7"/>
        <v>Mpox</v>
      </c>
      <c r="M123" s="55"/>
    </row>
    <row r="124">
      <c r="A124" s="53"/>
      <c r="B124" s="50" t="str">
        <f>IFERROR(__xludf.DUMMYFUNCTION("""COMPUTED_VALUE"""),"     Forehead               ")</f>
        <v>     Forehead               </v>
      </c>
      <c r="C124" s="53"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2" t="s">
        <v>19</v>
      </c>
      <c r="I124" s="52" t="s">
        <v>19</v>
      </c>
      <c r="J124" s="52" t="s">
        <v>19</v>
      </c>
      <c r="K124" s="52" t="str">
        <f t="shared" si="7"/>
        <v>Mpox</v>
      </c>
      <c r="M124" s="55"/>
    </row>
    <row r="125">
      <c r="A125" s="53"/>
      <c r="B125" s="50" t="str">
        <f>IFERROR(__xludf.DUMMYFUNCTION("""COMPUTED_VALUE"""),"     Lip               ")</f>
        <v>     Lip               </v>
      </c>
      <c r="C125" s="53"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2" t="s">
        <v>19</v>
      </c>
      <c r="I125" s="52" t="s">
        <v>19</v>
      </c>
      <c r="J125" s="52" t="s">
        <v>19</v>
      </c>
      <c r="K125" s="52" t="str">
        <f t="shared" si="7"/>
        <v>Mpox</v>
      </c>
      <c r="M125" s="55"/>
    </row>
    <row r="126">
      <c r="A126" s="53"/>
      <c r="B126" s="50" t="str">
        <f>IFERROR(__xludf.DUMMYFUNCTION("""COMPUTED_VALUE"""),"     Jaw               ")</f>
        <v>     Jaw               </v>
      </c>
      <c r="C126" s="53"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2" t="s">
        <v>19</v>
      </c>
      <c r="I126" s="52" t="s">
        <v>19</v>
      </c>
      <c r="J126" s="52" t="s">
        <v>19</v>
      </c>
      <c r="K126" s="52" t="str">
        <f t="shared" si="7"/>
        <v>Mpox</v>
      </c>
      <c r="M126" s="55"/>
    </row>
    <row r="127">
      <c r="A127" s="53"/>
      <c r="B127" s="50" t="str">
        <f>IFERROR(__xludf.DUMMYFUNCTION("""COMPUTED_VALUE"""),"     Tongue               ")</f>
        <v>     Tongue               </v>
      </c>
      <c r="C127" s="53" t="str">
        <f>IFERROR(__xludf.DUMMYFUNCTION("""COMPUTED_VALUE"""),"UBERON:0001723")</f>
        <v>UBERON:0001723</v>
      </c>
      <c r="D127" s="29" t="str">
        <f>IFERROR(__xludf.DUMMYFUNCTION("""COMPUTED_VALUE"""),"A muscular organ in the floor of the mouth.")</f>
        <v>A muscular organ in the floor of the mouth.</v>
      </c>
      <c r="H127" s="52" t="s">
        <v>19</v>
      </c>
      <c r="I127" s="52" t="s">
        <v>19</v>
      </c>
      <c r="J127" s="52" t="s">
        <v>19</v>
      </c>
      <c r="K127" s="52" t="str">
        <f t="shared" si="7"/>
        <v>Mpox</v>
      </c>
      <c r="M127" s="55"/>
    </row>
    <row r="128">
      <c r="A128" s="53"/>
      <c r="B128" s="50" t="str">
        <f>IFERROR(__xludf.DUMMYFUNCTION("""COMPUTED_VALUE"""),"Hypogastrium (suprapubic region)                    ")</f>
        <v>Hypogastrium (suprapubic region)                    </v>
      </c>
      <c r="C128" s="53"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2" t="s">
        <v>19</v>
      </c>
      <c r="I128" s="52" t="s">
        <v>19</v>
      </c>
      <c r="J128" s="52" t="s">
        <v>19</v>
      </c>
      <c r="K128" s="52" t="str">
        <f t="shared" si="7"/>
        <v>Mpox</v>
      </c>
      <c r="M128" s="55"/>
    </row>
    <row r="129">
      <c r="A129" s="53"/>
      <c r="B129" s="50" t="str">
        <f>IFERROR(__xludf.DUMMYFUNCTION("""COMPUTED_VALUE"""),"Leg                    ")</f>
        <v>Leg                    </v>
      </c>
      <c r="C129" s="53"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2" t="s">
        <v>19</v>
      </c>
      <c r="I129" s="52" t="s">
        <v>19</v>
      </c>
      <c r="J129" s="52" t="s">
        <v>19</v>
      </c>
      <c r="K129" s="52" t="str">
        <f t="shared" si="7"/>
        <v>Mpox</v>
      </c>
      <c r="M129" s="55"/>
    </row>
    <row r="130">
      <c r="A130" s="53"/>
      <c r="B130" s="50" t="str">
        <f>IFERROR(__xludf.DUMMYFUNCTION("""COMPUTED_VALUE"""),"     Ankle               ")</f>
        <v>     Ankle               </v>
      </c>
      <c r="C130" s="53" t="str">
        <f>IFERROR(__xludf.DUMMYFUNCTION("""COMPUTED_VALUE"""),"UBERON:0001512")</f>
        <v>UBERON:0001512</v>
      </c>
      <c r="D130" s="29" t="str">
        <f>IFERROR(__xludf.DUMMYFUNCTION("""COMPUTED_VALUE"""),"A zone of skin that is part of an ankle")</f>
        <v>A zone of skin that is part of an ankle</v>
      </c>
      <c r="H130" s="52" t="s">
        <v>19</v>
      </c>
      <c r="I130" s="52" t="s">
        <v>19</v>
      </c>
      <c r="J130" s="52" t="s">
        <v>19</v>
      </c>
      <c r="K130" s="52" t="str">
        <f t="shared" si="7"/>
        <v>Mpox</v>
      </c>
      <c r="M130" s="55"/>
    </row>
    <row r="131">
      <c r="A131" s="53"/>
      <c r="B131" s="50" t="str">
        <f>IFERROR(__xludf.DUMMYFUNCTION("""COMPUTED_VALUE"""),"     Knee               ")</f>
        <v>     Knee               </v>
      </c>
      <c r="C131" s="53"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2" t="s">
        <v>19</v>
      </c>
      <c r="I131" s="52" t="s">
        <v>19</v>
      </c>
      <c r="J131" s="52" t="s">
        <v>19</v>
      </c>
      <c r="K131" s="52" t="str">
        <f t="shared" si="7"/>
        <v>Mpox</v>
      </c>
      <c r="M131" s="55"/>
    </row>
    <row r="132">
      <c r="A132" s="53"/>
      <c r="B132" s="50" t="str">
        <f>IFERROR(__xludf.DUMMYFUNCTION("""COMPUTED_VALUE"""),"     Thigh               ")</f>
        <v>     Thigh               </v>
      </c>
      <c r="C132" s="53"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2" t="s">
        <v>19</v>
      </c>
      <c r="I132" s="52" t="s">
        <v>19</v>
      </c>
      <c r="J132" s="52" t="s">
        <v>19</v>
      </c>
      <c r="K132" s="52" t="str">
        <f t="shared" si="7"/>
        <v>Mpox</v>
      </c>
      <c r="M132" s="55"/>
    </row>
    <row r="133">
      <c r="A133" s="53"/>
      <c r="B133" s="50" t="str">
        <f>IFERROR(__xludf.DUMMYFUNCTION("""COMPUTED_VALUE"""),"Lower body                    ")</f>
        <v>Lower body                    </v>
      </c>
      <c r="C133" s="53" t="str">
        <f>IFERROR(__xludf.DUMMYFUNCTION("""COMPUTED_VALUE"""),"GENEPIO:0100492")</f>
        <v>GENEPIO:0100492</v>
      </c>
      <c r="D133" s="29" t="str">
        <f>IFERROR(__xludf.DUMMYFUNCTION("""COMPUTED_VALUE"""),"The part of the body that includes the leg, ankle, and foot.")</f>
        <v>The part of the body that includes the leg, ankle, and foot.</v>
      </c>
      <c r="H133" s="52" t="s">
        <v>19</v>
      </c>
      <c r="I133" s="52" t="s">
        <v>19</v>
      </c>
      <c r="J133" s="52" t="s">
        <v>19</v>
      </c>
      <c r="K133" s="52" t="str">
        <f t="shared" si="7"/>
        <v>Mpox</v>
      </c>
      <c r="M133" s="55"/>
    </row>
    <row r="134">
      <c r="A134" s="53"/>
      <c r="B134" s="50" t="str">
        <f>IFERROR(__xludf.DUMMYFUNCTION("""COMPUTED_VALUE"""),"Nasal Cavity                    ")</f>
        <v>Nasal Cavity                    </v>
      </c>
      <c r="C134" s="53"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2" t="s">
        <v>19</v>
      </c>
      <c r="I134" s="52" t="s">
        <v>19</v>
      </c>
      <c r="J134" s="52" t="s">
        <v>19</v>
      </c>
      <c r="K134" s="52" t="str">
        <f t="shared" si="7"/>
        <v>Mpox</v>
      </c>
      <c r="M134" s="55"/>
    </row>
    <row r="135">
      <c r="A135" s="53"/>
      <c r="B135" s="50" t="str">
        <f>IFERROR(__xludf.DUMMYFUNCTION("""COMPUTED_VALUE"""),"     Anterior Nares               ")</f>
        <v>     Anterior Nares               </v>
      </c>
      <c r="C135" s="53" t="str">
        <f>IFERROR(__xludf.DUMMYFUNCTION("""COMPUTED_VALUE"""),"UBERON:2001427")</f>
        <v>UBERON:2001427</v>
      </c>
      <c r="D135" s="29" t="str">
        <f>IFERROR(__xludf.DUMMYFUNCTION("""COMPUTED_VALUE"""),"The external part of the nose containing the lower nostrils.")</f>
        <v>The external part of the nose containing the lower nostrils.</v>
      </c>
      <c r="H135" s="52" t="s">
        <v>19</v>
      </c>
      <c r="I135" s="52" t="s">
        <v>19</v>
      </c>
      <c r="J135" s="52" t="s">
        <v>19</v>
      </c>
      <c r="K135" s="52" t="str">
        <f t="shared" si="7"/>
        <v>Mpox</v>
      </c>
      <c r="M135" s="55"/>
    </row>
    <row r="136">
      <c r="A136" s="53"/>
      <c r="B136" s="50" t="str">
        <f>IFERROR(__xludf.DUMMYFUNCTION("""COMPUTED_VALUE"""),"     Inferior Nasal Turbinate               ")</f>
        <v>     Inferior Nasal Turbinate               </v>
      </c>
      <c r="C136" s="53"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2" t="s">
        <v>19</v>
      </c>
      <c r="I136" s="52" t="s">
        <v>19</v>
      </c>
      <c r="J136" s="52" t="s">
        <v>19</v>
      </c>
      <c r="K136" s="52" t="str">
        <f t="shared" si="7"/>
        <v>Mpox</v>
      </c>
      <c r="M136" s="55"/>
    </row>
    <row r="137">
      <c r="A137" s="53"/>
      <c r="B137" s="50" t="str">
        <f>IFERROR(__xludf.DUMMYFUNCTION("""COMPUTED_VALUE"""),"     Middle Nasal Turbinate               ")</f>
        <v>     Middle Nasal Turbinate               </v>
      </c>
      <c r="C137" s="53" t="str">
        <f>IFERROR(__xludf.DUMMYFUNCTION("""COMPUTED_VALUE"""),"UBERON:0005922")</f>
        <v>UBERON:0005922</v>
      </c>
      <c r="D137" s="29" t="str">
        <f>IFERROR(__xludf.DUMMYFUNCTION("""COMPUTED_VALUE"""),"A turbinal located on the maxilla bone.")</f>
        <v>A turbinal located on the maxilla bone.</v>
      </c>
      <c r="H137" s="52" t="s">
        <v>19</v>
      </c>
      <c r="I137" s="52" t="s">
        <v>19</v>
      </c>
      <c r="J137" s="52" t="s">
        <v>19</v>
      </c>
      <c r="K137" s="52" t="str">
        <f t="shared" si="7"/>
        <v>Mpox</v>
      </c>
      <c r="M137" s="55"/>
    </row>
    <row r="138">
      <c r="A138" s="53"/>
      <c r="B138" s="50" t="str">
        <f>IFERROR(__xludf.DUMMYFUNCTION("""COMPUTED_VALUE"""),"Neck                    ")</f>
        <v>Neck                    </v>
      </c>
      <c r="C138" s="53"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2" t="s">
        <v>19</v>
      </c>
      <c r="I138" s="52" t="s">
        <v>19</v>
      </c>
      <c r="J138" s="52" t="s">
        <v>19</v>
      </c>
      <c r="K138" s="52" t="str">
        <f t="shared" si="7"/>
        <v>Mpox</v>
      </c>
      <c r="M138" s="55"/>
    </row>
    <row r="139">
      <c r="A139" s="53"/>
      <c r="B139" s="50" t="str">
        <f>IFERROR(__xludf.DUMMYFUNCTION("""COMPUTED_VALUE"""),"     Pharynx (throat)               ")</f>
        <v>     Pharynx (throat)               </v>
      </c>
      <c r="C139" s="53"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2" t="s">
        <v>19</v>
      </c>
      <c r="I139" s="52" t="s">
        <v>19</v>
      </c>
      <c r="J139" s="52" t="s">
        <v>19</v>
      </c>
      <c r="K139" s="52" t="str">
        <f t="shared" si="7"/>
        <v>Mpox</v>
      </c>
      <c r="M139" s="55"/>
    </row>
    <row r="140">
      <c r="A140" s="53"/>
      <c r="B140" s="50" t="str">
        <f>IFERROR(__xludf.DUMMYFUNCTION("""COMPUTED_VALUE"""),"          Nasopharynx (NP)          ")</f>
        <v>          Nasopharynx (NP)          </v>
      </c>
      <c r="C140" s="53" t="str">
        <f>IFERROR(__xludf.DUMMYFUNCTION("""COMPUTED_VALUE"""),"UBERON:0001728")</f>
        <v>UBERON:0001728</v>
      </c>
      <c r="D140" s="29" t="str">
        <f>IFERROR(__xludf.DUMMYFUNCTION("""COMPUTED_VALUE"""),"The section of the pharynx that lies above the soft palate.")</f>
        <v>The section of the pharynx that lies above the soft palate.</v>
      </c>
      <c r="H140" s="52" t="s">
        <v>19</v>
      </c>
      <c r="I140" s="52" t="s">
        <v>19</v>
      </c>
      <c r="J140" s="52" t="s">
        <v>19</v>
      </c>
      <c r="K140" s="52" t="str">
        <f t="shared" si="7"/>
        <v>Mpox</v>
      </c>
      <c r="M140" s="55"/>
    </row>
    <row r="141">
      <c r="A141" s="53"/>
      <c r="B141" s="50" t="str">
        <f>IFERROR(__xludf.DUMMYFUNCTION("""COMPUTED_VALUE"""),"          Oropharynx (OP)          ")</f>
        <v>          Oropharynx (OP)          </v>
      </c>
      <c r="C141" s="53"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2" t="s">
        <v>19</v>
      </c>
      <c r="I141" s="52" t="s">
        <v>19</v>
      </c>
      <c r="J141" s="52" t="s">
        <v>19</v>
      </c>
      <c r="K141" s="52" t="str">
        <f t="shared" si="7"/>
        <v>Mpox</v>
      </c>
      <c r="M141" s="55"/>
    </row>
    <row r="142">
      <c r="A142" s="53"/>
      <c r="B142" s="50" t="str">
        <f>IFERROR(__xludf.DUMMYFUNCTION("""COMPUTED_VALUE"""),"     Trachea               ")</f>
        <v>     Trachea               </v>
      </c>
      <c r="C142" s="53"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2" t="s">
        <v>19</v>
      </c>
      <c r="I142" s="52" t="s">
        <v>19</v>
      </c>
      <c r="J142" s="52" t="s">
        <v>19</v>
      </c>
      <c r="K142" s="52" t="str">
        <f t="shared" si="7"/>
        <v>Mpox</v>
      </c>
      <c r="M142" s="55"/>
    </row>
    <row r="143">
      <c r="A143" s="53"/>
      <c r="B143" s="50" t="str">
        <f>IFERROR(__xludf.DUMMYFUNCTION("""COMPUTED_VALUE"""),"Rectum                    ")</f>
        <v>Rectum                    </v>
      </c>
      <c r="C143" s="53"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2" t="s">
        <v>19</v>
      </c>
      <c r="I143" s="52" t="s">
        <v>19</v>
      </c>
      <c r="J143" s="52" t="s">
        <v>19</v>
      </c>
      <c r="K143" s="52" t="str">
        <f t="shared" si="7"/>
        <v>Mpox</v>
      </c>
      <c r="M143" s="55"/>
    </row>
    <row r="144">
      <c r="A144" s="53"/>
      <c r="B144" s="50" t="str">
        <f>IFERROR(__xludf.DUMMYFUNCTION("""COMPUTED_VALUE"""),"Shoulder                    ")</f>
        <v>Shoulder                    </v>
      </c>
      <c r="C144" s="53"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2" t="s">
        <v>19</v>
      </c>
      <c r="I144" s="52" t="s">
        <v>19</v>
      </c>
      <c r="J144" s="52" t="s">
        <v>19</v>
      </c>
      <c r="K144" s="52" t="str">
        <f t="shared" si="7"/>
        <v>Mpox</v>
      </c>
      <c r="M144" s="55"/>
    </row>
    <row r="145">
      <c r="A145" s="53"/>
      <c r="B145" s="50" t="str">
        <f>IFERROR(__xludf.DUMMYFUNCTION("""COMPUTED_VALUE"""),"Skin                    ")</f>
        <v>Skin                    </v>
      </c>
      <c r="C145" s="53"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2" t="s">
        <v>19</v>
      </c>
      <c r="I145" s="52" t="s">
        <v>19</v>
      </c>
      <c r="J145" s="52" t="s">
        <v>19</v>
      </c>
      <c r="K145" s="52" t="str">
        <f t="shared" si="7"/>
        <v>Mpox</v>
      </c>
      <c r="M145" s="55"/>
    </row>
    <row r="146">
      <c r="A146" s="29"/>
      <c r="B146" s="50" t="str">
        <f>IFERROR(__xludf.DUMMYFUNCTION("""COMPUTED_VALUE"""),"                    ")</f>
        <v>                    </v>
      </c>
      <c r="C146" s="29"/>
      <c r="D146" s="29" t="str">
        <f>IFERROR(__xludf.DUMMYFUNCTION("""COMPUTED_VALUE"""),"")</f>
        <v/>
      </c>
      <c r="E146" s="29"/>
      <c r="F146" s="29"/>
      <c r="G146" s="29"/>
      <c r="H146" s="29"/>
      <c r="I146" s="29"/>
      <c r="J146" s="29"/>
      <c r="K146" s="52" t="str">
        <f t="shared" si="7"/>
        <v>Mpox</v>
      </c>
      <c r="M146" s="57"/>
    </row>
    <row r="147">
      <c r="A147" s="29"/>
      <c r="B147" s="50" t="str">
        <f>IFERROR(__xludf.DUMMYFUNCTION("""COMPUTED_VALUE"""),"                    ")</f>
        <v>                    </v>
      </c>
      <c r="C147" s="29"/>
      <c r="D147" s="29" t="str">
        <f>IFERROR(__xludf.DUMMYFUNCTION("""COMPUTED_VALUE"""),"")</f>
        <v/>
      </c>
      <c r="E147" s="29"/>
      <c r="F147" s="29"/>
      <c r="G147" s="29"/>
      <c r="H147" s="29"/>
      <c r="I147" s="29"/>
      <c r="J147" s="29"/>
      <c r="K147" s="52" t="str">
        <f t="shared" si="7"/>
        <v>Mpox</v>
      </c>
      <c r="M147" s="57"/>
    </row>
    <row r="148">
      <c r="A148" s="29"/>
      <c r="B148" s="50" t="str">
        <f>IFERROR(__xludf.DUMMYFUNCTION("""COMPUTED_VALUE"""),"                    ")</f>
        <v>                    </v>
      </c>
      <c r="C148" s="29"/>
      <c r="D148" s="29" t="str">
        <f>IFERROR(__xludf.DUMMYFUNCTION("""COMPUTED_VALUE"""),"")</f>
        <v/>
      </c>
      <c r="E148" s="29"/>
      <c r="F148" s="29"/>
      <c r="G148" s="29"/>
      <c r="H148" s="29"/>
      <c r="I148" s="29"/>
      <c r="J148" s="29"/>
      <c r="K148" s="52" t="str">
        <f t="shared" si="7"/>
        <v>Mpox</v>
      </c>
      <c r="M148" s="57"/>
    </row>
    <row r="149">
      <c r="A149" s="29" t="str">
        <f>IFERROR(__xludf.DUMMYFUNCTION("""COMPUTED_VALUE"""),"anatomical part international menu")</f>
        <v>anatomical part international menu</v>
      </c>
      <c r="B149" s="50" t="str">
        <f>IFERROR(__xludf.DUMMYFUNCTION("""COMPUTED_VALUE"""),"                    ")</f>
        <v>                    </v>
      </c>
      <c r="C149" s="29"/>
      <c r="D149" s="29" t="str">
        <f>IFERROR(__xludf.DUMMYFUNCTION("""COMPUTED_VALUE"""),"")</f>
        <v/>
      </c>
      <c r="E149" s="29"/>
      <c r="F149" s="29"/>
      <c r="G149" s="29"/>
      <c r="H149" s="29"/>
      <c r="I149" s="29"/>
      <c r="J149" s="29"/>
      <c r="K149" s="53" t="s">
        <v>31</v>
      </c>
      <c r="L149" s="29" t="str">
        <f>LEFT(A149, LEN(A149) - 5)
</f>
        <v>anatomical part international</v>
      </c>
      <c r="M149" s="58" t="s">
        <v>32</v>
      </c>
    </row>
    <row r="150">
      <c r="A150" s="29"/>
      <c r="B150" s="50"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4" t="s">
        <v>19</v>
      </c>
      <c r="I150" s="54" t="s">
        <v>19</v>
      </c>
      <c r="J150" s="54" t="s">
        <v>19</v>
      </c>
      <c r="K150" s="52" t="str">
        <f t="shared" ref="K150:K201" si="8">K149</f>
        <v>International</v>
      </c>
      <c r="M150" s="56"/>
    </row>
    <row r="151">
      <c r="A151" s="29"/>
      <c r="B151" s="50"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4" t="s">
        <v>19</v>
      </c>
      <c r="I151" s="54" t="s">
        <v>19</v>
      </c>
      <c r="J151" s="54" t="s">
        <v>19</v>
      </c>
      <c r="K151" s="52" t="str">
        <f t="shared" si="8"/>
        <v>International</v>
      </c>
      <c r="M151" s="55"/>
    </row>
    <row r="152">
      <c r="A152" s="29"/>
      <c r="B152" s="50"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4" t="s">
        <v>19</v>
      </c>
      <c r="I152" s="54" t="s">
        <v>19</v>
      </c>
      <c r="J152" s="54" t="s">
        <v>19</v>
      </c>
      <c r="K152" s="52" t="str">
        <f t="shared" si="8"/>
        <v>International</v>
      </c>
      <c r="M152" s="55"/>
    </row>
    <row r="153">
      <c r="A153" s="29"/>
      <c r="B153" s="50"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4" t="s">
        <v>19</v>
      </c>
      <c r="I153" s="54" t="s">
        <v>19</v>
      </c>
      <c r="J153" s="54" t="s">
        <v>19</v>
      </c>
      <c r="K153" s="52" t="str">
        <f t="shared" si="8"/>
        <v>International</v>
      </c>
      <c r="M153" s="55"/>
    </row>
    <row r="154">
      <c r="A154" s="29"/>
      <c r="B154" s="50"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4" t="s">
        <v>19</v>
      </c>
      <c r="I154" s="54" t="s">
        <v>19</v>
      </c>
      <c r="J154" s="54" t="s">
        <v>19</v>
      </c>
      <c r="K154" s="52" t="str">
        <f t="shared" si="8"/>
        <v>International</v>
      </c>
      <c r="M154" s="55"/>
    </row>
    <row r="155">
      <c r="A155" s="29"/>
      <c r="B155" s="50"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4" t="s">
        <v>19</v>
      </c>
      <c r="I155" s="54" t="s">
        <v>19</v>
      </c>
      <c r="J155" s="54" t="s">
        <v>19</v>
      </c>
      <c r="K155" s="52" t="str">
        <f t="shared" si="8"/>
        <v>International</v>
      </c>
      <c r="M155" s="55"/>
    </row>
    <row r="156">
      <c r="A156" s="29"/>
      <c r="B156" s="50"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4" t="s">
        <v>19</v>
      </c>
      <c r="I156" s="54" t="s">
        <v>19</v>
      </c>
      <c r="J156" s="54" t="s">
        <v>19</v>
      </c>
      <c r="K156" s="52" t="str">
        <f t="shared" si="8"/>
        <v>International</v>
      </c>
      <c r="M156" s="55"/>
    </row>
    <row r="157">
      <c r="A157" s="29"/>
      <c r="B157" s="50"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4" t="s">
        <v>19</v>
      </c>
      <c r="I157" s="54" t="s">
        <v>19</v>
      </c>
      <c r="J157" s="54" t="s">
        <v>19</v>
      </c>
      <c r="K157" s="52" t="str">
        <f t="shared" si="8"/>
        <v>International</v>
      </c>
      <c r="M157" s="55"/>
    </row>
    <row r="158">
      <c r="A158" s="29"/>
      <c r="B158" s="50"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4" t="s">
        <v>19</v>
      </c>
      <c r="I158" s="54" t="s">
        <v>19</v>
      </c>
      <c r="J158" s="54" t="s">
        <v>19</v>
      </c>
      <c r="K158" s="52" t="str">
        <f t="shared" si="8"/>
        <v>International</v>
      </c>
      <c r="M158" s="55"/>
    </row>
    <row r="159">
      <c r="A159" s="29"/>
      <c r="B159" s="50"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4" t="s">
        <v>19</v>
      </c>
      <c r="I159" s="54" t="s">
        <v>19</v>
      </c>
      <c r="J159" s="54" t="s">
        <v>19</v>
      </c>
      <c r="K159" s="52" t="str">
        <f t="shared" si="8"/>
        <v>International</v>
      </c>
      <c r="M159" s="55"/>
    </row>
    <row r="160">
      <c r="A160" s="29"/>
      <c r="B160" s="50"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4" t="s">
        <v>19</v>
      </c>
      <c r="I160" s="54" t="s">
        <v>19</v>
      </c>
      <c r="J160" s="54" t="s">
        <v>19</v>
      </c>
      <c r="K160" s="52" t="str">
        <f t="shared" si="8"/>
        <v>International</v>
      </c>
      <c r="M160" s="55"/>
    </row>
    <row r="161">
      <c r="A161" s="29"/>
      <c r="B161" s="50"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4" t="s">
        <v>19</v>
      </c>
      <c r="I161" s="54" t="s">
        <v>19</v>
      </c>
      <c r="J161" s="54" t="s">
        <v>19</v>
      </c>
      <c r="K161" s="52" t="str">
        <f t="shared" si="8"/>
        <v>International</v>
      </c>
      <c r="M161" s="55"/>
    </row>
    <row r="162">
      <c r="A162" s="29"/>
      <c r="B162" s="50" t="str">
        <f>IFERROR(__xludf.DUMMYFUNCTION("""COMPUTED_VALUE"""),"          Glans (tip of penis) [UBERON:0035651]          ")</f>
        <v>          Glans (tip of penis) [UBERON:0035651]          </v>
      </c>
      <c r="C162" s="29" t="str">
        <f>IFERROR(__xludf.DUMMYFUNCTION("""COMPUTED_VALUE"""),"UBERON:0035651")</f>
        <v>UBERON:0035651</v>
      </c>
      <c r="D162" s="29" t="str">
        <f>IFERROR(__xludf.DUMMYFUNCTION("""COMPUTED_VALUE"""),"The bulbous structure at the distal end of the human penis")</f>
        <v>The bulbous structure at the distal end of the human penis</v>
      </c>
      <c r="E162" s="29"/>
      <c r="F162" s="29"/>
      <c r="G162" s="29"/>
      <c r="H162" s="54" t="s">
        <v>19</v>
      </c>
      <c r="I162" s="54" t="s">
        <v>19</v>
      </c>
      <c r="J162" s="54" t="s">
        <v>19</v>
      </c>
      <c r="K162" s="52" t="str">
        <f t="shared" si="8"/>
        <v>International</v>
      </c>
      <c r="M162" s="55"/>
    </row>
    <row r="163">
      <c r="A163" s="29"/>
      <c r="B163" s="50"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4" t="s">
        <v>19</v>
      </c>
      <c r="I163" s="54" t="s">
        <v>19</v>
      </c>
      <c r="J163" s="54" t="s">
        <v>19</v>
      </c>
      <c r="K163" s="52" t="str">
        <f t="shared" si="8"/>
        <v>International</v>
      </c>
      <c r="M163" s="55"/>
    </row>
    <row r="164">
      <c r="A164" s="29"/>
      <c r="B164" s="50"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4" t="s">
        <v>19</v>
      </c>
      <c r="I164" s="54" t="s">
        <v>19</v>
      </c>
      <c r="J164" s="54" t="s">
        <v>19</v>
      </c>
      <c r="K164" s="52" t="str">
        <f t="shared" si="8"/>
        <v>International</v>
      </c>
      <c r="M164" s="55"/>
    </row>
    <row r="165">
      <c r="A165" s="29"/>
      <c r="B165" s="50"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4" t="s">
        <v>19</v>
      </c>
      <c r="I165" s="54" t="s">
        <v>19</v>
      </c>
      <c r="J165" s="54" t="s">
        <v>19</v>
      </c>
      <c r="K165" s="52" t="str">
        <f t="shared" si="8"/>
        <v>International</v>
      </c>
      <c r="M165" s="55"/>
    </row>
    <row r="166">
      <c r="A166" s="29"/>
      <c r="B166" s="50"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4" t="s">
        <v>19</v>
      </c>
      <c r="I166" s="54" t="s">
        <v>19</v>
      </c>
      <c r="J166" s="54" t="s">
        <v>19</v>
      </c>
      <c r="K166" s="52" t="str">
        <f t="shared" si="8"/>
        <v>International</v>
      </c>
      <c r="M166" s="55"/>
    </row>
    <row r="167">
      <c r="A167" s="29"/>
      <c r="B167" s="50"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4" t="s">
        <v>19</v>
      </c>
      <c r="I167" s="54" t="s">
        <v>19</v>
      </c>
      <c r="J167" s="54" t="s">
        <v>19</v>
      </c>
      <c r="K167" s="52" t="str">
        <f t="shared" si="8"/>
        <v>International</v>
      </c>
      <c r="M167" s="55"/>
    </row>
    <row r="168">
      <c r="A168" s="29"/>
      <c r="B168" s="50"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4" t="s">
        <v>19</v>
      </c>
      <c r="I168" s="54" t="s">
        <v>19</v>
      </c>
      <c r="J168" s="54" t="s">
        <v>19</v>
      </c>
      <c r="K168" s="52" t="str">
        <f t="shared" si="8"/>
        <v>International</v>
      </c>
      <c r="M168" s="55"/>
    </row>
    <row r="169">
      <c r="A169" s="29"/>
      <c r="B169" s="50"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4" t="s">
        <v>19</v>
      </c>
      <c r="I169" s="54" t="s">
        <v>19</v>
      </c>
      <c r="J169" s="54" t="s">
        <v>19</v>
      </c>
      <c r="K169" s="52" t="str">
        <f t="shared" si="8"/>
        <v>International</v>
      </c>
      <c r="M169" s="55"/>
    </row>
    <row r="170">
      <c r="A170" s="29"/>
      <c r="B170" s="50"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4" t="s">
        <v>19</v>
      </c>
      <c r="I170" s="54" t="s">
        <v>19</v>
      </c>
      <c r="J170" s="54" t="s">
        <v>19</v>
      </c>
      <c r="K170" s="52" t="str">
        <f t="shared" si="8"/>
        <v>International</v>
      </c>
      <c r="M170" s="55"/>
    </row>
    <row r="171">
      <c r="A171" s="29"/>
      <c r="B171" s="50"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4" t="s">
        <v>19</v>
      </c>
      <c r="I171" s="54" t="s">
        <v>19</v>
      </c>
      <c r="J171" s="54" t="s">
        <v>19</v>
      </c>
      <c r="K171" s="52" t="str">
        <f t="shared" si="8"/>
        <v>International</v>
      </c>
      <c r="M171" s="55"/>
    </row>
    <row r="172">
      <c r="A172" s="29"/>
      <c r="B172" s="50"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4" t="s">
        <v>19</v>
      </c>
      <c r="I172" s="54" t="s">
        <v>19</v>
      </c>
      <c r="J172" s="54" t="s">
        <v>19</v>
      </c>
      <c r="K172" s="52" t="str">
        <f t="shared" si="8"/>
        <v>International</v>
      </c>
      <c r="M172" s="55"/>
    </row>
    <row r="173">
      <c r="A173" s="29"/>
      <c r="B173" s="50"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4" t="s">
        <v>19</v>
      </c>
      <c r="I173" s="54" t="s">
        <v>19</v>
      </c>
      <c r="J173" s="54" t="s">
        <v>19</v>
      </c>
      <c r="K173" s="52" t="str">
        <f t="shared" si="8"/>
        <v>International</v>
      </c>
      <c r="M173" s="55"/>
    </row>
    <row r="174">
      <c r="A174" s="29"/>
      <c r="B174" s="50"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4" t="s">
        <v>19</v>
      </c>
      <c r="I174" s="54" t="s">
        <v>19</v>
      </c>
      <c r="J174" s="54" t="s">
        <v>19</v>
      </c>
      <c r="K174" s="52" t="str">
        <f t="shared" si="8"/>
        <v>International</v>
      </c>
      <c r="M174" s="55"/>
    </row>
    <row r="175">
      <c r="A175" s="29"/>
      <c r="B175" s="50"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4" t="s">
        <v>19</v>
      </c>
      <c r="I175" s="54" t="s">
        <v>19</v>
      </c>
      <c r="J175" s="54" t="s">
        <v>19</v>
      </c>
      <c r="K175" s="52" t="str">
        <f t="shared" si="8"/>
        <v>International</v>
      </c>
      <c r="M175" s="55"/>
    </row>
    <row r="176">
      <c r="A176" s="29"/>
      <c r="B176" s="50"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4" t="s">
        <v>19</v>
      </c>
      <c r="I176" s="54" t="s">
        <v>19</v>
      </c>
      <c r="J176" s="54" t="s">
        <v>19</v>
      </c>
      <c r="K176" s="52" t="str">
        <f t="shared" si="8"/>
        <v>International</v>
      </c>
      <c r="M176" s="55"/>
    </row>
    <row r="177">
      <c r="A177" s="29"/>
      <c r="B177" s="50"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4" t="s">
        <v>19</v>
      </c>
      <c r="I177" s="54" t="s">
        <v>19</v>
      </c>
      <c r="J177" s="54" t="s">
        <v>19</v>
      </c>
      <c r="K177" s="52" t="str">
        <f t="shared" si="8"/>
        <v>International</v>
      </c>
      <c r="M177" s="55"/>
    </row>
    <row r="178">
      <c r="A178" s="29"/>
      <c r="B178" s="50"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4" t="s">
        <v>19</v>
      </c>
      <c r="I178" s="54" t="s">
        <v>19</v>
      </c>
      <c r="J178" s="54" t="s">
        <v>19</v>
      </c>
      <c r="K178" s="52" t="str">
        <f t="shared" si="8"/>
        <v>International</v>
      </c>
      <c r="M178" s="55"/>
    </row>
    <row r="179">
      <c r="A179" s="29"/>
      <c r="B179" s="50"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4" t="s">
        <v>19</v>
      </c>
      <c r="I179" s="54" t="s">
        <v>19</v>
      </c>
      <c r="J179" s="54" t="s">
        <v>19</v>
      </c>
      <c r="K179" s="52" t="str">
        <f t="shared" si="8"/>
        <v>International</v>
      </c>
      <c r="M179" s="55"/>
    </row>
    <row r="180">
      <c r="A180" s="29"/>
      <c r="B180" s="50"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4" t="s">
        <v>19</v>
      </c>
      <c r="I180" s="54" t="s">
        <v>19</v>
      </c>
      <c r="J180" s="54" t="s">
        <v>19</v>
      </c>
      <c r="K180" s="52" t="str">
        <f t="shared" si="8"/>
        <v>International</v>
      </c>
      <c r="M180" s="55"/>
    </row>
    <row r="181">
      <c r="A181" s="29"/>
      <c r="B181" s="50"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4" t="s">
        <v>19</v>
      </c>
      <c r="I181" s="54" t="s">
        <v>19</v>
      </c>
      <c r="J181" s="54" t="s">
        <v>19</v>
      </c>
      <c r="K181" s="52" t="str">
        <f t="shared" si="8"/>
        <v>International</v>
      </c>
      <c r="M181" s="55"/>
    </row>
    <row r="182">
      <c r="A182" s="29"/>
      <c r="B182" s="50"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4" t="s">
        <v>19</v>
      </c>
      <c r="I182" s="54" t="s">
        <v>19</v>
      </c>
      <c r="J182" s="54" t="s">
        <v>19</v>
      </c>
      <c r="K182" s="52" t="str">
        <f t="shared" si="8"/>
        <v>International</v>
      </c>
      <c r="M182" s="55"/>
    </row>
    <row r="183">
      <c r="A183" s="29"/>
      <c r="B183" s="50"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4" t="s">
        <v>19</v>
      </c>
      <c r="I183" s="54" t="s">
        <v>19</v>
      </c>
      <c r="J183" s="54" t="s">
        <v>19</v>
      </c>
      <c r="K183" s="52" t="str">
        <f t="shared" si="8"/>
        <v>International</v>
      </c>
      <c r="M183" s="55"/>
    </row>
    <row r="184">
      <c r="A184" s="29"/>
      <c r="B184" s="50"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4" t="s">
        <v>19</v>
      </c>
      <c r="I184" s="54" t="s">
        <v>19</v>
      </c>
      <c r="J184" s="54" t="s">
        <v>19</v>
      </c>
      <c r="K184" s="52" t="str">
        <f t="shared" si="8"/>
        <v>International</v>
      </c>
      <c r="M184" s="55"/>
    </row>
    <row r="185">
      <c r="A185" s="29"/>
      <c r="B185" s="50"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4" t="s">
        <v>19</v>
      </c>
      <c r="I185" s="54" t="s">
        <v>19</v>
      </c>
      <c r="J185" s="54" t="s">
        <v>19</v>
      </c>
      <c r="K185" s="52" t="str">
        <f t="shared" si="8"/>
        <v>International</v>
      </c>
      <c r="M185" s="55"/>
    </row>
    <row r="186">
      <c r="A186" s="29"/>
      <c r="B186" s="50"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4" t="s">
        <v>19</v>
      </c>
      <c r="I186" s="54" t="s">
        <v>19</v>
      </c>
      <c r="J186" s="54" t="s">
        <v>19</v>
      </c>
      <c r="K186" s="52" t="str">
        <f t="shared" si="8"/>
        <v>International</v>
      </c>
      <c r="M186" s="55"/>
    </row>
    <row r="187">
      <c r="A187" s="29"/>
      <c r="B187" s="50"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4" t="s">
        <v>19</v>
      </c>
      <c r="I187" s="54" t="s">
        <v>19</v>
      </c>
      <c r="J187" s="54" t="s">
        <v>19</v>
      </c>
      <c r="K187" s="52" t="str">
        <f t="shared" si="8"/>
        <v>International</v>
      </c>
      <c r="M187" s="55"/>
    </row>
    <row r="188">
      <c r="A188" s="29"/>
      <c r="B188" s="50"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4" t="s">
        <v>19</v>
      </c>
      <c r="I188" s="54" t="s">
        <v>19</v>
      </c>
      <c r="J188" s="54" t="s">
        <v>19</v>
      </c>
      <c r="K188" s="52" t="str">
        <f t="shared" si="8"/>
        <v>International</v>
      </c>
      <c r="M188" s="55"/>
    </row>
    <row r="189">
      <c r="A189" s="29"/>
      <c r="B189" s="50"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4" t="s">
        <v>19</v>
      </c>
      <c r="I189" s="54" t="s">
        <v>19</v>
      </c>
      <c r="J189" s="54" t="s">
        <v>19</v>
      </c>
      <c r="K189" s="52" t="str">
        <f t="shared" si="8"/>
        <v>International</v>
      </c>
      <c r="M189" s="55"/>
    </row>
    <row r="190">
      <c r="A190" s="29"/>
      <c r="B190" s="50"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4" t="s">
        <v>19</v>
      </c>
      <c r="I190" s="54" t="s">
        <v>19</v>
      </c>
      <c r="J190" s="54" t="s">
        <v>19</v>
      </c>
      <c r="K190" s="52" t="str">
        <f t="shared" si="8"/>
        <v>International</v>
      </c>
      <c r="M190" s="55"/>
    </row>
    <row r="191">
      <c r="A191" s="29"/>
      <c r="B191" s="50"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4" t="s">
        <v>19</v>
      </c>
      <c r="I191" s="54" t="s">
        <v>19</v>
      </c>
      <c r="J191" s="54" t="s">
        <v>19</v>
      </c>
      <c r="K191" s="52" t="str">
        <f t="shared" si="8"/>
        <v>International</v>
      </c>
      <c r="M191" s="55"/>
    </row>
    <row r="192">
      <c r="A192" s="29"/>
      <c r="B192" s="50"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4" t="s">
        <v>19</v>
      </c>
      <c r="I192" s="54" t="s">
        <v>19</v>
      </c>
      <c r="J192" s="54" t="s">
        <v>19</v>
      </c>
      <c r="K192" s="52" t="str">
        <f t="shared" si="8"/>
        <v>International</v>
      </c>
      <c r="M192" s="55"/>
    </row>
    <row r="193">
      <c r="A193" s="29"/>
      <c r="B193" s="50"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4" t="s">
        <v>19</v>
      </c>
      <c r="I193" s="54" t="s">
        <v>19</v>
      </c>
      <c r="J193" s="54" t="s">
        <v>19</v>
      </c>
      <c r="K193" s="52" t="str">
        <f t="shared" si="8"/>
        <v>International</v>
      </c>
      <c r="M193" s="55"/>
    </row>
    <row r="194">
      <c r="A194" s="29"/>
      <c r="B194" s="50"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4" t="s">
        <v>19</v>
      </c>
      <c r="I194" s="54" t="s">
        <v>19</v>
      </c>
      <c r="J194" s="54" t="s">
        <v>19</v>
      </c>
      <c r="K194" s="52" t="str">
        <f t="shared" si="8"/>
        <v>International</v>
      </c>
      <c r="M194" s="55"/>
    </row>
    <row r="195">
      <c r="A195" s="29"/>
      <c r="B195" s="50"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4" t="s">
        <v>19</v>
      </c>
      <c r="I195" s="54" t="s">
        <v>19</v>
      </c>
      <c r="J195" s="54" t="s">
        <v>19</v>
      </c>
      <c r="K195" s="52" t="str">
        <f t="shared" si="8"/>
        <v>International</v>
      </c>
      <c r="M195" s="55"/>
    </row>
    <row r="196">
      <c r="A196" s="29"/>
      <c r="B196" s="50"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4" t="s">
        <v>19</v>
      </c>
      <c r="I196" s="54" t="s">
        <v>19</v>
      </c>
      <c r="J196" s="54" t="s">
        <v>19</v>
      </c>
      <c r="K196" s="52" t="str">
        <f t="shared" si="8"/>
        <v>International</v>
      </c>
      <c r="M196" s="55"/>
    </row>
    <row r="197">
      <c r="A197" s="29"/>
      <c r="B197" s="50"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4" t="s">
        <v>19</v>
      </c>
      <c r="I197" s="54" t="s">
        <v>19</v>
      </c>
      <c r="J197" s="54" t="s">
        <v>19</v>
      </c>
      <c r="K197" s="52" t="str">
        <f t="shared" si="8"/>
        <v>International</v>
      </c>
      <c r="M197" s="55"/>
    </row>
    <row r="198">
      <c r="A198" s="29"/>
      <c r="B198" s="50"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4" t="s">
        <v>19</v>
      </c>
      <c r="I198" s="54" t="s">
        <v>19</v>
      </c>
      <c r="J198" s="54" t="s">
        <v>19</v>
      </c>
      <c r="K198" s="52" t="str">
        <f t="shared" si="8"/>
        <v>International</v>
      </c>
      <c r="M198" s="55"/>
    </row>
    <row r="199">
      <c r="A199" s="29"/>
      <c r="B199" s="50"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4" t="s">
        <v>19</v>
      </c>
      <c r="I199" s="54" t="s">
        <v>19</v>
      </c>
      <c r="J199" s="54" t="s">
        <v>19</v>
      </c>
      <c r="K199" s="52" t="str">
        <f t="shared" si="8"/>
        <v>International</v>
      </c>
      <c r="M199" s="55"/>
    </row>
    <row r="200">
      <c r="A200" s="29"/>
      <c r="B200" s="50" t="str">
        <f>IFERROR(__xludf.DUMMYFUNCTION("""COMPUTED_VALUE"""),"                    ")</f>
        <v>                    </v>
      </c>
      <c r="C200" s="29"/>
      <c r="D200" s="29" t="str">
        <f>IFERROR(__xludf.DUMMYFUNCTION("""COMPUTED_VALUE"""),"")</f>
        <v/>
      </c>
      <c r="E200" s="29"/>
      <c r="F200" s="29"/>
      <c r="G200" s="29"/>
      <c r="H200" s="29"/>
      <c r="I200" s="29"/>
      <c r="J200" s="29"/>
      <c r="K200" s="52" t="str">
        <f t="shared" si="8"/>
        <v>International</v>
      </c>
      <c r="M200" s="57"/>
    </row>
    <row r="201">
      <c r="A201" s="29"/>
      <c r="B201" s="50" t="str">
        <f>IFERROR(__xludf.DUMMYFUNCTION("""COMPUTED_VALUE"""),"                    ")</f>
        <v>                    </v>
      </c>
      <c r="C201" s="29"/>
      <c r="D201" s="29" t="str">
        <f>IFERROR(__xludf.DUMMYFUNCTION("""COMPUTED_VALUE"""),"")</f>
        <v/>
      </c>
      <c r="E201" s="29"/>
      <c r="F201" s="29"/>
      <c r="G201" s="29"/>
      <c r="H201" s="29"/>
      <c r="I201" s="29"/>
      <c r="J201" s="29"/>
      <c r="K201" s="52" t="str">
        <f t="shared" si="8"/>
        <v>International</v>
      </c>
      <c r="M201" s="57"/>
    </row>
    <row r="202">
      <c r="A202" s="53" t="str">
        <f>IFERROR(__xludf.DUMMYFUNCTION("""COMPUTED_VALUE"""),"body product menu")</f>
        <v>body product menu</v>
      </c>
      <c r="B202" s="50" t="str">
        <f>IFERROR(__xludf.DUMMYFUNCTION("""COMPUTED_VALUE"""),"                    ")</f>
        <v>                    </v>
      </c>
      <c r="C202" s="53"/>
      <c r="D202" s="29" t="str">
        <f>IFERROR(__xludf.DUMMYFUNCTION("""COMPUTED_VALUE"""),"")</f>
        <v/>
      </c>
      <c r="E202" s="53"/>
      <c r="F202" s="53"/>
      <c r="G202" s="53"/>
      <c r="H202" s="53"/>
      <c r="I202" s="53"/>
      <c r="J202" s="53"/>
      <c r="K202" s="53" t="s">
        <v>29</v>
      </c>
      <c r="L202" s="53" t="str">
        <f>LEFT(A202, LEN(A202) - 5)
</f>
        <v>body product</v>
      </c>
      <c r="M202" s="53" t="str">
        <f>VLOOKUP(L202,'Field Reference Guide'!$B$6:$N$220,13,false)</f>
        <v>Mpox</v>
      </c>
    </row>
    <row r="203">
      <c r="A203" s="53"/>
      <c r="B203" s="50" t="str">
        <f>IFERROR(__xludf.DUMMYFUNCTION("""COMPUTED_VALUE"""),"Breast Milk                    ")</f>
        <v>Breast Milk                    </v>
      </c>
      <c r="C203" s="53"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2" t="s">
        <v>19</v>
      </c>
      <c r="I203" s="52" t="s">
        <v>19</v>
      </c>
      <c r="J203" s="52" t="s">
        <v>19</v>
      </c>
      <c r="K203" s="52" t="str">
        <f t="shared" ref="K203:K212" si="9">K202</f>
        <v>Mpox</v>
      </c>
      <c r="M203" s="56"/>
    </row>
    <row r="204">
      <c r="A204" s="53"/>
      <c r="B204" s="50" t="str">
        <f>IFERROR(__xludf.DUMMYFUNCTION("""COMPUTED_VALUE"""),"Feces                    ")</f>
        <v>Feces                    </v>
      </c>
      <c r="C204" s="53" t="str">
        <f>IFERROR(__xludf.DUMMYFUNCTION("""COMPUTED_VALUE"""),"UBERON:0001988")</f>
        <v>UBERON:0001988</v>
      </c>
      <c r="D204" s="29" t="str">
        <f>IFERROR(__xludf.DUMMYFUNCTION("""COMPUTED_VALUE"""),"Portion of semisolid bodily waste discharged through the anus.")</f>
        <v>Portion of semisolid bodily waste discharged through the anus.</v>
      </c>
      <c r="H204" s="52" t="s">
        <v>19</v>
      </c>
      <c r="I204" s="52" t="s">
        <v>19</v>
      </c>
      <c r="J204" s="52" t="s">
        <v>19</v>
      </c>
      <c r="K204" s="52" t="str">
        <f t="shared" si="9"/>
        <v>Mpox</v>
      </c>
      <c r="M204" s="55"/>
    </row>
    <row r="205">
      <c r="A205" s="53"/>
      <c r="B205" s="50" t="str">
        <f>IFERROR(__xludf.DUMMYFUNCTION("""COMPUTED_VALUE"""),"Fluid (discharge)                    ")</f>
        <v>Fluid (discharge)                    </v>
      </c>
      <c r="C205" s="53" t="str">
        <f>IFERROR(__xludf.DUMMYFUNCTION("""COMPUTED_VALUE"""),"SYMP:0000651")</f>
        <v>SYMP:0000651</v>
      </c>
      <c r="D205" s="29" t="str">
        <f>IFERROR(__xludf.DUMMYFUNCTION("""COMPUTED_VALUE"""),"A fluid that comes out of the body.")</f>
        <v>A fluid that comes out of the body.</v>
      </c>
      <c r="H205" s="52" t="s">
        <v>19</v>
      </c>
      <c r="I205" s="52" t="s">
        <v>19</v>
      </c>
      <c r="J205" s="52" t="s">
        <v>19</v>
      </c>
      <c r="K205" s="52" t="str">
        <f t="shared" si="9"/>
        <v>Mpox</v>
      </c>
      <c r="M205" s="55"/>
    </row>
    <row r="206">
      <c r="A206" s="53"/>
      <c r="B206" s="50" t="str">
        <f>IFERROR(__xludf.DUMMYFUNCTION("""COMPUTED_VALUE"""),"     Pus               ")</f>
        <v>     Pus               </v>
      </c>
      <c r="C206" s="53" t="str">
        <f>IFERROR(__xludf.DUMMYFUNCTION("""COMPUTED_VALUE"""),"UBERON:0000177")</f>
        <v>UBERON:0000177</v>
      </c>
      <c r="D206"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H206" s="52" t="s">
        <v>19</v>
      </c>
      <c r="I206" s="52" t="s">
        <v>19</v>
      </c>
      <c r="J206" s="52" t="s">
        <v>19</v>
      </c>
      <c r="K206" s="52" t="str">
        <f t="shared" si="9"/>
        <v>Mpox</v>
      </c>
      <c r="M206" s="55"/>
    </row>
    <row r="207">
      <c r="A207" s="53"/>
      <c r="B207" s="50" t="str">
        <f>IFERROR(__xludf.DUMMYFUNCTION("""COMPUTED_VALUE"""),"Fluid (seminal)                    ")</f>
        <v>Fluid (seminal)                    </v>
      </c>
      <c r="C207" s="53"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2" t="s">
        <v>19</v>
      </c>
      <c r="I207" s="52" t="s">
        <v>19</v>
      </c>
      <c r="J207" s="52" t="s">
        <v>19</v>
      </c>
      <c r="K207" s="52" t="str">
        <f t="shared" si="9"/>
        <v>Mpox</v>
      </c>
      <c r="M207" s="55"/>
    </row>
    <row r="208">
      <c r="A208" s="53"/>
      <c r="B208" s="50" t="str">
        <f>IFERROR(__xludf.DUMMYFUNCTION("""COMPUTED_VALUE"""),"Mucus                    ")</f>
        <v>Mucus                    </v>
      </c>
      <c r="C208" s="53"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2" t="s">
        <v>19</v>
      </c>
      <c r="I208" s="52" t="s">
        <v>19</v>
      </c>
      <c r="J208" s="52" t="s">
        <v>19</v>
      </c>
      <c r="K208" s="52" t="str">
        <f t="shared" si="9"/>
        <v>Mpox</v>
      </c>
      <c r="M208" s="55"/>
    </row>
    <row r="209">
      <c r="A209" s="53"/>
      <c r="B209" s="50" t="str">
        <f>IFERROR(__xludf.DUMMYFUNCTION("""COMPUTED_VALUE"""),"     Sputum               ")</f>
        <v>     Sputum               </v>
      </c>
      <c r="C209" s="53" t="str">
        <f>IFERROR(__xludf.DUMMYFUNCTION("""COMPUTED_VALUE"""),"UBERON:0007311")</f>
        <v>UBERON:0007311</v>
      </c>
      <c r="D209" s="29" t="str">
        <f>IFERROR(__xludf.DUMMYFUNCTION("""COMPUTED_VALUE"""),"Matter ejected from the lungs, bronchi, and trachea, through the mouth.")</f>
        <v>Matter ejected from the lungs, bronchi, and trachea, through the mouth.</v>
      </c>
      <c r="H209" s="52" t="s">
        <v>19</v>
      </c>
      <c r="I209" s="52" t="s">
        <v>19</v>
      </c>
      <c r="J209" s="52" t="s">
        <v>19</v>
      </c>
      <c r="K209" s="52" t="str">
        <f t="shared" si="9"/>
        <v>Mpox</v>
      </c>
      <c r="M209" s="55"/>
    </row>
    <row r="210">
      <c r="A210" s="53"/>
      <c r="B210" s="50" t="str">
        <f>IFERROR(__xludf.DUMMYFUNCTION("""COMPUTED_VALUE"""),"Sweat                    ")</f>
        <v>Sweat                    </v>
      </c>
      <c r="C210" s="53" t="str">
        <f>IFERROR(__xludf.DUMMYFUNCTION("""COMPUTED_VALUE"""),"UBERON:0001089")</f>
        <v>UBERON:0001089</v>
      </c>
      <c r="D210" s="29" t="str">
        <f>IFERROR(__xludf.DUMMYFUNCTION("""COMPUTED_VALUE"""),"Secretion produced by a sweat gland.")</f>
        <v>Secretion produced by a sweat gland.</v>
      </c>
      <c r="H210" s="52" t="s">
        <v>19</v>
      </c>
      <c r="I210" s="52" t="s">
        <v>19</v>
      </c>
      <c r="J210" s="52" t="s">
        <v>19</v>
      </c>
      <c r="K210" s="52" t="str">
        <f t="shared" si="9"/>
        <v>Mpox</v>
      </c>
      <c r="M210" s="55"/>
    </row>
    <row r="211">
      <c r="A211" s="53"/>
      <c r="B211" s="50" t="str">
        <f>IFERROR(__xludf.DUMMYFUNCTION("""COMPUTED_VALUE"""),"Tear                    ")</f>
        <v>Tear                    </v>
      </c>
      <c r="C211" s="53" t="str">
        <f>IFERROR(__xludf.DUMMYFUNCTION("""COMPUTED_VALUE"""),"UBERON:0001827")</f>
        <v>UBERON:0001827</v>
      </c>
      <c r="D211" s="29" t="str">
        <f>IFERROR(__xludf.DUMMYFUNCTION("""COMPUTED_VALUE"""),"Aqueous substance secreted by the lacrimal gland.")</f>
        <v>Aqueous substance secreted by the lacrimal gland.</v>
      </c>
      <c r="H211" s="52" t="s">
        <v>19</v>
      </c>
      <c r="I211" s="52" t="s">
        <v>19</v>
      </c>
      <c r="J211" s="52" t="s">
        <v>19</v>
      </c>
      <c r="K211" s="52" t="str">
        <f t="shared" si="9"/>
        <v>Mpox</v>
      </c>
      <c r="M211" s="55"/>
    </row>
    <row r="212">
      <c r="A212" s="53"/>
      <c r="B212" s="50" t="str">
        <f>IFERROR(__xludf.DUMMYFUNCTION("""COMPUTED_VALUE"""),"Urine                    ")</f>
        <v>Urine                    </v>
      </c>
      <c r="C212" s="53" t="str">
        <f>IFERROR(__xludf.DUMMYFUNCTION("""COMPUTED_VALUE"""),"UBERON:0001088")</f>
        <v>UBERON:0001088</v>
      </c>
      <c r="D212" s="29" t="str">
        <f>IFERROR(__xludf.DUMMYFUNCTION("""COMPUTED_VALUE"""),"Excretion that is the output of a kidney.")</f>
        <v>Excretion that is the output of a kidney.</v>
      </c>
      <c r="H212" s="52" t="s">
        <v>19</v>
      </c>
      <c r="I212" s="52" t="s">
        <v>19</v>
      </c>
      <c r="J212" s="52" t="s">
        <v>19</v>
      </c>
      <c r="K212" s="52" t="str">
        <f t="shared" si="9"/>
        <v>Mpox</v>
      </c>
      <c r="M212" s="55"/>
    </row>
    <row r="213">
      <c r="A213" s="29" t="str">
        <f>IFERROR(__xludf.DUMMYFUNCTION("""COMPUTED_VALUE"""),"body product international menu")</f>
        <v>body product international menu</v>
      </c>
      <c r="B213" s="50" t="str">
        <f>IFERROR(__xludf.DUMMYFUNCTION("""COMPUTED_VALUE"""),"                    ")</f>
        <v>                    </v>
      </c>
      <c r="C213" s="29"/>
      <c r="D213" s="29" t="str">
        <f>IFERROR(__xludf.DUMMYFUNCTION("""COMPUTED_VALUE"""),"")</f>
        <v/>
      </c>
      <c r="E213" s="29"/>
      <c r="F213" s="29"/>
      <c r="G213" s="29"/>
      <c r="H213" s="29"/>
      <c r="I213" s="29"/>
      <c r="J213" s="29"/>
      <c r="K213" s="53" t="s">
        <v>31</v>
      </c>
      <c r="L213" s="29" t="str">
        <f>LEFT(A213, LEN(A213) - 5)
</f>
        <v>body product international</v>
      </c>
      <c r="M213" s="58" t="s">
        <v>32</v>
      </c>
    </row>
    <row r="214">
      <c r="A214" s="29"/>
      <c r="B214" s="50"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4" t="s">
        <v>19</v>
      </c>
      <c r="I214" s="54" t="s">
        <v>19</v>
      </c>
      <c r="J214" s="54" t="s">
        <v>19</v>
      </c>
      <c r="K214" s="52" t="str">
        <f t="shared" ref="K214:K223" si="10">K213</f>
        <v>International</v>
      </c>
      <c r="M214" s="56"/>
    </row>
    <row r="215">
      <c r="A215" s="29"/>
      <c r="B215" s="50"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4" t="s">
        <v>19</v>
      </c>
      <c r="I215" s="54" t="s">
        <v>19</v>
      </c>
      <c r="J215" s="54" t="s">
        <v>19</v>
      </c>
      <c r="K215" s="52" t="str">
        <f t="shared" si="10"/>
        <v>International</v>
      </c>
      <c r="M215" s="55"/>
    </row>
    <row r="216">
      <c r="A216" s="29"/>
      <c r="B216" s="50"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4" t="s">
        <v>19</v>
      </c>
      <c r="I216" s="54" t="s">
        <v>19</v>
      </c>
      <c r="J216" s="54" t="s">
        <v>19</v>
      </c>
      <c r="K216" s="52" t="str">
        <f t="shared" si="10"/>
        <v>International</v>
      </c>
      <c r="M216" s="55"/>
    </row>
    <row r="217">
      <c r="A217" s="29"/>
      <c r="B217" s="50" t="str">
        <f>IFERROR(__xludf.DUMMYFUNCTION("""COMPUTED_VALUE"""),"     Pus [UBERON:0000177]               ")</f>
        <v>     Pus [UBERON:0000177]               </v>
      </c>
      <c r="C217" s="29" t="str">
        <f>IFERROR(__xludf.DUMMYFUNCTION("""COMPUTED_VALUE"""),"UBERON:0000177")</f>
        <v>UBERON:0000177</v>
      </c>
      <c r="D217"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E217" s="29"/>
      <c r="F217" s="29"/>
      <c r="G217" s="29"/>
      <c r="H217" s="54" t="s">
        <v>19</v>
      </c>
      <c r="I217" s="54" t="s">
        <v>19</v>
      </c>
      <c r="J217" s="54" t="s">
        <v>19</v>
      </c>
      <c r="K217" s="52" t="str">
        <f t="shared" si="10"/>
        <v>International</v>
      </c>
      <c r="M217" s="55"/>
    </row>
    <row r="218">
      <c r="A218" s="29"/>
      <c r="B218" s="50"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4" t="s">
        <v>19</v>
      </c>
      <c r="I218" s="54" t="s">
        <v>19</v>
      </c>
      <c r="J218" s="54" t="s">
        <v>19</v>
      </c>
      <c r="K218" s="52" t="str">
        <f t="shared" si="10"/>
        <v>International</v>
      </c>
      <c r="M218" s="55"/>
    </row>
    <row r="219">
      <c r="A219" s="29"/>
      <c r="B219" s="50"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4" t="s">
        <v>19</v>
      </c>
      <c r="I219" s="54" t="s">
        <v>19</v>
      </c>
      <c r="J219" s="54" t="s">
        <v>19</v>
      </c>
      <c r="K219" s="52" t="str">
        <f t="shared" si="10"/>
        <v>International</v>
      </c>
      <c r="M219" s="55"/>
    </row>
    <row r="220">
      <c r="A220" s="29"/>
      <c r="B220" s="50" t="str">
        <f>IFERROR(__xludf.DUMMYFUNCTION("""COMPUTED_VALUE"""),"     Sputum [UBERON:0007311]               ")</f>
        <v>     Sputum [UBERON:0007311]               </v>
      </c>
      <c r="C220" s="29" t="str">
        <f>IFERROR(__xludf.DUMMYFUNCTION("""COMPUTED_VALUE"""),"UBERON:0007311")</f>
        <v>UBERON:0007311</v>
      </c>
      <c r="D220" s="29" t="str">
        <f>IFERROR(__xludf.DUMMYFUNCTION("""COMPUTED_VALUE"""),"Matter ejected from the lungs, bronchi, and trachea, through the mouth.")</f>
        <v>Matter ejected from the lungs, bronchi, and trachea, through the mouth.</v>
      </c>
      <c r="E220" s="29"/>
      <c r="F220" s="29"/>
      <c r="G220" s="29"/>
      <c r="H220" s="54" t="s">
        <v>19</v>
      </c>
      <c r="I220" s="54" t="s">
        <v>19</v>
      </c>
      <c r="J220" s="54" t="s">
        <v>19</v>
      </c>
      <c r="K220" s="52" t="str">
        <f t="shared" si="10"/>
        <v>International</v>
      </c>
      <c r="M220" s="55"/>
    </row>
    <row r="221">
      <c r="A221" s="29"/>
      <c r="B221" s="50"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4" t="s">
        <v>19</v>
      </c>
      <c r="I221" s="54" t="s">
        <v>19</v>
      </c>
      <c r="J221" s="54" t="s">
        <v>19</v>
      </c>
      <c r="K221" s="52" t="str">
        <f t="shared" si="10"/>
        <v>International</v>
      </c>
      <c r="M221" s="55"/>
    </row>
    <row r="222">
      <c r="A222" s="29"/>
      <c r="B222" s="50"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4" t="s">
        <v>19</v>
      </c>
      <c r="I222" s="54" t="s">
        <v>19</v>
      </c>
      <c r="J222" s="54" t="s">
        <v>19</v>
      </c>
      <c r="K222" s="52" t="str">
        <f t="shared" si="10"/>
        <v>International</v>
      </c>
      <c r="M222" s="55"/>
    </row>
    <row r="223">
      <c r="A223" s="29"/>
      <c r="B223" s="50"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4" t="s">
        <v>19</v>
      </c>
      <c r="I223" s="54" t="s">
        <v>19</v>
      </c>
      <c r="J223" s="54" t="s">
        <v>19</v>
      </c>
      <c r="K223" s="52" t="str">
        <f t="shared" si="10"/>
        <v>International</v>
      </c>
      <c r="M223" s="55"/>
    </row>
    <row r="224">
      <c r="A224" s="29" t="str">
        <f>IFERROR(__xludf.DUMMYFUNCTION("""COMPUTED_VALUE"""),"environmental material international menu")</f>
        <v>environmental material international menu</v>
      </c>
      <c r="B224" s="50" t="str">
        <f>IFERROR(__xludf.DUMMYFUNCTION("""COMPUTED_VALUE"""),"                    ")</f>
        <v>                    </v>
      </c>
      <c r="C224" s="29"/>
      <c r="D224" s="29" t="str">
        <f>IFERROR(__xludf.DUMMYFUNCTION("""COMPUTED_VALUE"""),"")</f>
        <v/>
      </c>
      <c r="E224" s="29"/>
      <c r="F224" s="29"/>
      <c r="G224" s="29"/>
      <c r="H224" s="29"/>
      <c r="I224" s="29"/>
      <c r="J224" s="29"/>
      <c r="K224" s="53" t="s">
        <v>31</v>
      </c>
      <c r="L224" s="29" t="str">
        <f>LEFT(A224, LEN(A224) - 5)
</f>
        <v>environmental material international</v>
      </c>
      <c r="M224" s="58" t="s">
        <v>32</v>
      </c>
    </row>
    <row r="225">
      <c r="A225" s="29"/>
      <c r="B225" s="50" t="str">
        <f>IFERROR(__xludf.DUMMYFUNCTION("""COMPUTED_VALUE"""),"Animal carcass [FOODON:02010020]                    ")</f>
        <v>Animal carcass [FOODON:02010020]                    </v>
      </c>
      <c r="C225" s="29" t="str">
        <f>IFERROR(__xludf.DUMMYFUNCTION("""COMPUTED_VALUE"""),"FOODON:02010020")</f>
        <v>FOODON:02010020</v>
      </c>
      <c r="D225" s="29" t="str">
        <f>IFERROR(__xludf.DUMMYFUNCTION("""COMPUTED_VALUE"""),"A carcass of an animal that includes all anatomical parts. This includes a carcass with all organs and skin.")</f>
        <v>A carcass of an animal that includes all anatomical parts. This includes a carcass with all organs and skin.</v>
      </c>
      <c r="E225" s="29"/>
      <c r="F225" s="29"/>
      <c r="G225" s="29"/>
      <c r="H225" s="54" t="s">
        <v>19</v>
      </c>
      <c r="I225" s="54" t="s">
        <v>19</v>
      </c>
      <c r="J225" s="54" t="s">
        <v>19</v>
      </c>
      <c r="K225" s="52" t="str">
        <f t="shared" ref="K225:K233" si="11">K224</f>
        <v>International</v>
      </c>
      <c r="M225" s="56"/>
    </row>
    <row r="226">
      <c r="A226" s="29"/>
      <c r="B226" s="50" t="str">
        <f>IFERROR(__xludf.DUMMYFUNCTION("""COMPUTED_VALUE"""),"Bedding (Bed linen) [GSSO:005304]                    ")</f>
        <v>Bedding (Bed linen) [GSSO:005304]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4" t="s">
        <v>19</v>
      </c>
      <c r="I226" s="54" t="s">
        <v>19</v>
      </c>
      <c r="J226" s="54" t="s">
        <v>19</v>
      </c>
      <c r="K226" s="52" t="str">
        <f t="shared" si="11"/>
        <v>International</v>
      </c>
      <c r="M226" s="55"/>
    </row>
    <row r="227">
      <c r="A227" s="29"/>
      <c r="B227" s="50" t="str">
        <f>IFERROR(__xludf.DUMMYFUNCTION("""COMPUTED_VALUE"""),"Clothing [GSSO:003405]                    ")</f>
        <v>Clothing [GSSO:003405]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4" t="s">
        <v>19</v>
      </c>
      <c r="I227" s="54" t="s">
        <v>19</v>
      </c>
      <c r="J227" s="54" t="s">
        <v>19</v>
      </c>
      <c r="K227" s="52" t="str">
        <f t="shared" si="11"/>
        <v>International</v>
      </c>
      <c r="M227" s="55"/>
    </row>
    <row r="228">
      <c r="A228" s="29"/>
      <c r="B228" s="50" t="str">
        <f>IFERROR(__xludf.DUMMYFUNCTION("""COMPUTED_VALUE"""),"Drinkware                    ")</f>
        <v>Drinkware                    </v>
      </c>
      <c r="C228" s="29"/>
      <c r="D228" s="29" t="str">
        <f>IFERROR(__xludf.DUMMYFUNCTION("""COMPUTED_VALUE"""),"Utensils with an open top that are used to hold liquids for consumption.")</f>
        <v>Utensils with an open top that are used to hold liquids for consumption.</v>
      </c>
      <c r="E228" s="29"/>
      <c r="F228" s="29"/>
      <c r="G228" s="29"/>
      <c r="H228" s="54" t="s">
        <v>19</v>
      </c>
      <c r="I228" s="54" t="s">
        <v>19</v>
      </c>
      <c r="J228" s="54" t="s">
        <v>19</v>
      </c>
      <c r="K228" s="52" t="str">
        <f t="shared" si="11"/>
        <v>International</v>
      </c>
      <c r="M228" s="55"/>
    </row>
    <row r="229">
      <c r="A229" s="29"/>
      <c r="B229" s="50" t="str">
        <f>IFERROR(__xludf.DUMMYFUNCTION("""COMPUTED_VALUE"""),"     Cup [ENVO:03501330]               ")</f>
        <v>     Cup [ENVO:03501330]               </v>
      </c>
      <c r="C229" s="29" t="str">
        <f>IFERROR(__xludf.DUMMYFUNCTION("""COMPUTED_VALUE"""),"ENVO:03501330")</f>
        <v>ENVO:03501330</v>
      </c>
      <c r="D229" s="29" t="str">
        <f>IFERROR(__xludf.DUMMYFUNCTION("""COMPUTED_VALUE"""),"A utensil which is a hand-sized container with an open top. A cup may be used to hold liquids for pouring or drinking, or to store solids for pouring.")</f>
        <v>A utensil which is a hand-sized container with an open top. A cup may be used to hold liquids for pouring or drinking, or to store solids for pouring.</v>
      </c>
      <c r="E229" s="29"/>
      <c r="F229" s="29"/>
      <c r="G229" s="29"/>
      <c r="H229" s="30" t="s">
        <v>21</v>
      </c>
      <c r="I229" s="30" t="s">
        <v>21</v>
      </c>
      <c r="J229" s="30" t="s">
        <v>21</v>
      </c>
      <c r="K229" s="52" t="str">
        <f t="shared" si="11"/>
        <v>International</v>
      </c>
      <c r="M229" s="55"/>
    </row>
    <row r="230">
      <c r="A230" s="29"/>
      <c r="B230" s="50" t="str">
        <f>IFERROR(__xludf.DUMMYFUNCTION("""COMPUTED_VALUE"""),"Tableware                    ")</f>
        <v>Tableware                    </v>
      </c>
      <c r="C230" s="29"/>
      <c r="D230" s="29" t="str">
        <f>IFERROR(__xludf.DUMMYFUNCTION("""COMPUTED_VALUE"""),"Items used in setting a table and serving food and beverages. This includes various utensils, plates, bowls, cups, glasses, and serving dishes designed for dining and drinking.")</f>
        <v>Items used in setting a table and serving food and beverages. This includes various utensils, plates, bowls, cups, glasses, and serving dishes designed for dining and drinking.</v>
      </c>
      <c r="E230" s="29"/>
      <c r="F230" s="29"/>
      <c r="G230" s="29"/>
      <c r="H230" s="54" t="s">
        <v>19</v>
      </c>
      <c r="I230" s="54" t="s">
        <v>19</v>
      </c>
      <c r="J230" s="54" t="s">
        <v>19</v>
      </c>
      <c r="K230" s="52" t="str">
        <f t="shared" si="11"/>
        <v>International</v>
      </c>
      <c r="M230" s="55"/>
    </row>
    <row r="231">
      <c r="A231" s="29"/>
      <c r="B231" s="50" t="str">
        <f>IFERROR(__xludf.DUMMYFUNCTION("""COMPUTED_VALUE"""),"     Dish               ")</f>
        <v>     Dish               </v>
      </c>
      <c r="C231" s="29"/>
      <c r="D231" s="29" t="str">
        <f>IFERROR(__xludf.DUMMYFUNCTION("""COMPUTED_VALUE"""),"A flat, typically round or oval item used for holding or serving food. It can also refer to a specific type of plate, often used to describe the container itself, such as a ""plate dish"" which is used for placing and serving individual portions of food.")</f>
        <v>A flat, typically round or oval item used for holding or serving food. It can also refer to a specific type of plate, often used to describe the container itself, such as a "plate dish" which is used for placing and serving individual portions of food.</v>
      </c>
      <c r="E231" s="29"/>
      <c r="F231" s="29"/>
      <c r="G231" s="29"/>
      <c r="H231" s="54" t="s">
        <v>19</v>
      </c>
      <c r="I231" s="54" t="s">
        <v>19</v>
      </c>
      <c r="J231" s="54" t="s">
        <v>19</v>
      </c>
      <c r="K231" s="52" t="str">
        <f t="shared" si="11"/>
        <v>International</v>
      </c>
      <c r="M231" s="55"/>
    </row>
    <row r="232">
      <c r="A232" s="29"/>
      <c r="B232" s="50" t="str">
        <f>IFERROR(__xludf.DUMMYFUNCTION("""COMPUTED_VALUE"""),"     Eating utensil [ENVO:03501353]               ")</f>
        <v>     Eating utensil [ENVO:03501353]               </v>
      </c>
      <c r="C232" s="29" t="str">
        <f>IFERROR(__xludf.DUMMYFUNCTION("""COMPUTED_VALUE"""),"ENVO:03501353")</f>
        <v>ENVO:03501353</v>
      </c>
      <c r="D232" s="29" t="str">
        <f>IFERROR(__xludf.DUMMYFUNCTION("""COMPUTED_VALUE"""),"A utensil used for consuming food.")</f>
        <v>A utensil used for consuming food.</v>
      </c>
      <c r="E232" s="29"/>
      <c r="F232" s="29"/>
      <c r="G232" s="29"/>
      <c r="H232" s="30" t="s">
        <v>21</v>
      </c>
      <c r="I232" s="30" t="s">
        <v>21</v>
      </c>
      <c r="J232" s="30" t="s">
        <v>21</v>
      </c>
      <c r="K232" s="52" t="str">
        <f t="shared" si="11"/>
        <v>International</v>
      </c>
      <c r="M232" s="55"/>
    </row>
    <row r="233">
      <c r="A233" s="53"/>
      <c r="B233" s="50" t="str">
        <f>IFERROR(__xludf.DUMMYFUNCTION("""COMPUTED_VALUE"""),"Wastewater                    ")</f>
        <v>Wastewater                    </v>
      </c>
      <c r="C233" s="59" t="str">
        <f>IFERROR(__xludf.DUMMYFUNCTION("""COMPUTED_VALUE"""),"ENVO:00002001")</f>
        <v>ENVO:00002001</v>
      </c>
      <c r="D233" s="29" t="str">
        <f>IFERROR(__xludf.DUMMYFUNCTION("""COMPUTED_VALUE"""),"Water that has been adversely affected in quality by anthropogenic influence.")</f>
        <v>Water that has been adversely affected in quality by anthropogenic influence.</v>
      </c>
      <c r="H233" s="58" t="s">
        <v>30</v>
      </c>
      <c r="I233" s="58" t="s">
        <v>30</v>
      </c>
      <c r="J233" s="58" t="s">
        <v>30</v>
      </c>
      <c r="K233" s="52" t="str">
        <f t="shared" si="11"/>
        <v>International</v>
      </c>
      <c r="M233" s="57"/>
    </row>
    <row r="234">
      <c r="A234" s="53"/>
      <c r="B234" s="50" t="str">
        <f>IFERROR(__xludf.DUMMYFUNCTION("""COMPUTED_VALUE"""),"                    ")</f>
        <v>                    </v>
      </c>
      <c r="C234" s="53"/>
      <c r="D234" s="29" t="str">
        <f>IFERROR(__xludf.DUMMYFUNCTION("""COMPUTED_VALUE"""),"")</f>
        <v/>
      </c>
      <c r="H234" s="52"/>
      <c r="I234" s="52"/>
      <c r="J234" s="52"/>
      <c r="K234" s="52"/>
    </row>
    <row r="235">
      <c r="A235" s="53" t="str">
        <f>IFERROR(__xludf.DUMMYFUNCTION("""COMPUTED_VALUE"""),"collection method menu")</f>
        <v>collection method menu</v>
      </c>
      <c r="B235" s="50" t="str">
        <f>IFERROR(__xludf.DUMMYFUNCTION("""COMPUTED_VALUE"""),"                    ")</f>
        <v>                    </v>
      </c>
      <c r="C235" s="53"/>
      <c r="D235" s="29" t="str">
        <f>IFERROR(__xludf.DUMMYFUNCTION("""COMPUTED_VALUE"""),"")</f>
        <v/>
      </c>
      <c r="E235" s="53"/>
      <c r="F235" s="53"/>
      <c r="G235" s="53"/>
      <c r="H235" s="52"/>
      <c r="I235" s="52"/>
      <c r="J235" s="52"/>
      <c r="K235" s="53" t="s">
        <v>29</v>
      </c>
      <c r="L235" s="53" t="str">
        <f>LEFT(A235, LEN(A235) - 5)
</f>
        <v>collection method</v>
      </c>
      <c r="M235" s="53" t="str">
        <f>VLOOKUP(L235,'Field Reference Guide'!$B$6:$N$220,13,false)</f>
        <v>Mpox</v>
      </c>
    </row>
    <row r="236">
      <c r="A236" s="53"/>
      <c r="B236" s="50" t="str">
        <f>IFERROR(__xludf.DUMMYFUNCTION("""COMPUTED_VALUE"""),"Amniocentesis                    ")</f>
        <v>Amniocentesis                    </v>
      </c>
      <c r="C236" s="53" t="str">
        <f>IFERROR(__xludf.DUMMYFUNCTION("""COMPUTED_VALUE"""),"NCIT:C52009")</f>
        <v>NCIT:C52009</v>
      </c>
      <c r="D236"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6" s="52" t="s">
        <v>19</v>
      </c>
      <c r="I236" s="52" t="s">
        <v>19</v>
      </c>
      <c r="J236" s="52" t="s">
        <v>19</v>
      </c>
      <c r="K236" s="52" t="str">
        <f t="shared" ref="K236:K256" si="12">K235</f>
        <v>Mpox</v>
      </c>
      <c r="M236" s="55"/>
    </row>
    <row r="237">
      <c r="A237" s="53"/>
      <c r="B237" s="50" t="str">
        <f>IFERROR(__xludf.DUMMYFUNCTION("""COMPUTED_VALUE"""),"Aspiration                    ")</f>
        <v>Aspiration                    </v>
      </c>
      <c r="C237" s="53" t="str">
        <f>IFERROR(__xludf.DUMMYFUNCTION("""COMPUTED_VALUE"""),"NCIT:C15631")</f>
        <v>NCIT:C15631</v>
      </c>
      <c r="D237" s="29" t="str">
        <f>IFERROR(__xludf.DUMMYFUNCTION("""COMPUTED_VALUE"""),"Inspiration of a foreign object into the airway.")</f>
        <v>Inspiration of a foreign object into the airway.</v>
      </c>
      <c r="H237" s="52" t="s">
        <v>19</v>
      </c>
      <c r="I237" s="52" t="s">
        <v>19</v>
      </c>
      <c r="J237" s="52" t="s">
        <v>19</v>
      </c>
      <c r="K237" s="52" t="str">
        <f t="shared" si="12"/>
        <v>Mpox</v>
      </c>
      <c r="M237" s="55"/>
    </row>
    <row r="238">
      <c r="A238" s="53"/>
      <c r="B238" s="50" t="str">
        <f>IFERROR(__xludf.DUMMYFUNCTION("""COMPUTED_VALUE"""),"     Suprapubic Aspiration               ")</f>
        <v>     Suprapubic Aspiration               </v>
      </c>
      <c r="C238" s="53" t="str">
        <f>IFERROR(__xludf.DUMMYFUNCTION("""COMPUTED_VALUE"""),"GENEPIO:0100028")</f>
        <v>GENEPIO:0100028</v>
      </c>
      <c r="D238"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8" s="52" t="s">
        <v>19</v>
      </c>
      <c r="I238" s="52" t="s">
        <v>19</v>
      </c>
      <c r="J238" s="52" t="s">
        <v>19</v>
      </c>
      <c r="K238" s="52" t="str">
        <f t="shared" si="12"/>
        <v>Mpox</v>
      </c>
      <c r="M238" s="55"/>
    </row>
    <row r="239">
      <c r="A239" s="53"/>
      <c r="B239" s="50" t="str">
        <f>IFERROR(__xludf.DUMMYFUNCTION("""COMPUTED_VALUE"""),"     Tracheal aspiration               ")</f>
        <v>     Tracheal aspiration               </v>
      </c>
      <c r="C239" s="53" t="str">
        <f>IFERROR(__xludf.DUMMYFUNCTION("""COMPUTED_VALUE"""),"GENEPIO:0100029")</f>
        <v>GENEPIO:0100029</v>
      </c>
      <c r="D239" s="29" t="str">
        <f>IFERROR(__xludf.DUMMYFUNCTION("""COMPUTED_VALUE"""),"An aspiration process which collects tracheal secretions.")</f>
        <v>An aspiration process which collects tracheal secretions.</v>
      </c>
      <c r="H239" s="52" t="s">
        <v>19</v>
      </c>
      <c r="I239" s="52" t="s">
        <v>19</v>
      </c>
      <c r="J239" s="52" t="s">
        <v>19</v>
      </c>
      <c r="K239" s="52" t="str">
        <f t="shared" si="12"/>
        <v>Mpox</v>
      </c>
      <c r="M239" s="55"/>
    </row>
    <row r="240">
      <c r="A240" s="53"/>
      <c r="B240" s="50" t="str">
        <f>IFERROR(__xludf.DUMMYFUNCTION("""COMPUTED_VALUE"""),"     Vacuum Aspiration               ")</f>
        <v>     Vacuum Aspiration               </v>
      </c>
      <c r="C240" s="53" t="str">
        <f>IFERROR(__xludf.DUMMYFUNCTION("""COMPUTED_VALUE"""),"GENEPIO:0100030")</f>
        <v>GENEPIO:0100030</v>
      </c>
      <c r="D240" s="29" t="str">
        <f>IFERROR(__xludf.DUMMYFUNCTION("""COMPUTED_VALUE"""),"An aspiration process which uses a vacuum source to remove a sample.")</f>
        <v>An aspiration process which uses a vacuum source to remove a sample.</v>
      </c>
      <c r="H240" s="52" t="s">
        <v>19</v>
      </c>
      <c r="I240" s="52" t="s">
        <v>19</v>
      </c>
      <c r="J240" s="52" t="s">
        <v>19</v>
      </c>
      <c r="K240" s="52" t="str">
        <f t="shared" si="12"/>
        <v>Mpox</v>
      </c>
      <c r="M240" s="55"/>
    </row>
    <row r="241">
      <c r="A241" s="53"/>
      <c r="B241" s="50" t="str">
        <f>IFERROR(__xludf.DUMMYFUNCTION("""COMPUTED_VALUE"""),"Biopsy                    ")</f>
        <v>Biopsy                    </v>
      </c>
      <c r="C241" s="53" t="str">
        <f>IFERROR(__xludf.DUMMYFUNCTION("""COMPUTED_VALUE"""),"OBI:0002650")</f>
        <v>OBI:0002650</v>
      </c>
      <c r="D241"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41" s="52" t="s">
        <v>19</v>
      </c>
      <c r="I241" s="52" t="s">
        <v>19</v>
      </c>
      <c r="J241" s="52" t="s">
        <v>19</v>
      </c>
      <c r="K241" s="52" t="str">
        <f t="shared" si="12"/>
        <v>Mpox</v>
      </c>
      <c r="M241" s="55"/>
    </row>
    <row r="242">
      <c r="A242" s="53"/>
      <c r="B242" s="50" t="str">
        <f>IFERROR(__xludf.DUMMYFUNCTION("""COMPUTED_VALUE"""),"     Needle Biopsy               ")</f>
        <v>     Needle Biopsy               </v>
      </c>
      <c r="C242" s="53" t="str">
        <f>IFERROR(__xludf.DUMMYFUNCTION("""COMPUTED_VALUE"""),"OBI:0002651")</f>
        <v>OBI:0002651</v>
      </c>
      <c r="D242" s="29" t="str">
        <f>IFERROR(__xludf.DUMMYFUNCTION("""COMPUTED_VALUE"""),"A biopsy that uses a hollow needle to extract cells.")</f>
        <v>A biopsy that uses a hollow needle to extract cells.</v>
      </c>
      <c r="H242" s="52" t="s">
        <v>19</v>
      </c>
      <c r="I242" s="52" t="s">
        <v>19</v>
      </c>
      <c r="J242" s="52" t="s">
        <v>19</v>
      </c>
      <c r="K242" s="52" t="str">
        <f t="shared" si="12"/>
        <v>Mpox</v>
      </c>
      <c r="M242" s="55"/>
    </row>
    <row r="243">
      <c r="A243" s="53"/>
      <c r="B243" s="50" t="str">
        <f>IFERROR(__xludf.DUMMYFUNCTION("""COMPUTED_VALUE"""),"Filtration                    ")</f>
        <v>Filtration                    </v>
      </c>
      <c r="C243" s="53" t="str">
        <f>IFERROR(__xludf.DUMMYFUNCTION("""COMPUTED_VALUE"""),"OBI:0302885")</f>
        <v>OBI:0302885</v>
      </c>
      <c r="D243"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3" s="52" t="s">
        <v>19</v>
      </c>
      <c r="I243" s="52" t="s">
        <v>19</v>
      </c>
      <c r="J243" s="52" t="s">
        <v>19</v>
      </c>
      <c r="K243" s="52" t="str">
        <f t="shared" si="12"/>
        <v>Mpox</v>
      </c>
      <c r="M243" s="55"/>
    </row>
    <row r="244">
      <c r="A244" s="53"/>
      <c r="B244" s="50" t="str">
        <f>IFERROR(__xludf.DUMMYFUNCTION("""COMPUTED_VALUE"""),"     Air filtration               ")</f>
        <v>     Air filtration               </v>
      </c>
      <c r="C244" s="53" t="str">
        <f>IFERROR(__xludf.DUMMYFUNCTION("""COMPUTED_VALUE"""),"GENEPIO:0100031")</f>
        <v>GENEPIO:0100031</v>
      </c>
      <c r="D244" s="29" t="str">
        <f>IFERROR(__xludf.DUMMYFUNCTION("""COMPUTED_VALUE"""),"A filtration process which removes solid particulates from the air via an air filtration device.")</f>
        <v>A filtration process which removes solid particulates from the air via an air filtration device.</v>
      </c>
      <c r="H244" s="52" t="s">
        <v>19</v>
      </c>
      <c r="I244" s="52" t="s">
        <v>19</v>
      </c>
      <c r="J244" s="52" t="s">
        <v>19</v>
      </c>
      <c r="K244" s="52" t="str">
        <f t="shared" si="12"/>
        <v>Mpox</v>
      </c>
      <c r="M244" s="55"/>
    </row>
    <row r="245">
      <c r="A245" s="53"/>
      <c r="B245" s="50" t="str">
        <f>IFERROR(__xludf.DUMMYFUNCTION("""COMPUTED_VALUE"""),"Finger Prick                    ")</f>
        <v>Finger Prick                    </v>
      </c>
      <c r="C245" s="53" t="str">
        <f>IFERROR(__xludf.DUMMYFUNCTION("""COMPUTED_VALUE"""),"GENEPIO:0100036")</f>
        <v>GENEPIO:0100036</v>
      </c>
      <c r="D245"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H245" s="52" t="s">
        <v>19</v>
      </c>
      <c r="I245" s="52" t="s">
        <v>19</v>
      </c>
      <c r="J245" s="52" t="s">
        <v>19</v>
      </c>
      <c r="K245" s="52" t="str">
        <f t="shared" si="12"/>
        <v>Mpox</v>
      </c>
      <c r="M245" s="55"/>
    </row>
    <row r="246">
      <c r="A246" s="53"/>
      <c r="B246" s="50" t="str">
        <f>IFERROR(__xludf.DUMMYFUNCTION("""COMPUTED_VALUE"""),"Lavage                    ")</f>
        <v>Lavage                    </v>
      </c>
      <c r="C246" s="53" t="str">
        <f>IFERROR(__xludf.DUMMYFUNCTION("""COMPUTED_VALUE"""),"OBI:0600044")</f>
        <v>OBI:0600044</v>
      </c>
      <c r="D246"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6" s="52" t="s">
        <v>19</v>
      </c>
      <c r="I246" s="52" t="s">
        <v>19</v>
      </c>
      <c r="J246" s="52" t="s">
        <v>19</v>
      </c>
      <c r="K246" s="52" t="str">
        <f t="shared" si="12"/>
        <v>Mpox</v>
      </c>
      <c r="M246" s="55"/>
    </row>
    <row r="247">
      <c r="A247" s="53"/>
      <c r="B247" s="50" t="str">
        <f>IFERROR(__xludf.DUMMYFUNCTION("""COMPUTED_VALUE"""),"     Bronchoalveolar lavage (BAL)               ")</f>
        <v>     Bronchoalveolar lavage (BAL)               </v>
      </c>
      <c r="C247" s="53" t="str">
        <f>IFERROR(__xludf.DUMMYFUNCTION("""COMPUTED_VALUE"""),"GENEPIO:0100032")</f>
        <v>GENEPIO:0100032</v>
      </c>
      <c r="D247" s="29" t="str">
        <f>IFERROR(__xludf.DUMMYFUNCTION("""COMPUTED_VALUE"""),"The collection of bronchoalveolar lavage fluid (BAL) from the lungs.")</f>
        <v>The collection of bronchoalveolar lavage fluid (BAL) from the lungs.</v>
      </c>
      <c r="H247" s="52" t="s">
        <v>19</v>
      </c>
      <c r="I247" s="52" t="s">
        <v>19</v>
      </c>
      <c r="J247" s="52" t="s">
        <v>19</v>
      </c>
      <c r="K247" s="52" t="str">
        <f t="shared" si="12"/>
        <v>Mpox</v>
      </c>
      <c r="M247" s="55"/>
    </row>
    <row r="248">
      <c r="A248" s="53"/>
      <c r="B248" s="50" t="str">
        <f>IFERROR(__xludf.DUMMYFUNCTION("""COMPUTED_VALUE"""),"     Gastric Lavage               ")</f>
        <v>     Gastric Lavage               </v>
      </c>
      <c r="C248" s="53" t="str">
        <f>IFERROR(__xludf.DUMMYFUNCTION("""COMPUTED_VALUE"""),"GENEPIO:0100033")</f>
        <v>GENEPIO:0100033</v>
      </c>
      <c r="D248"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8" s="52" t="s">
        <v>19</v>
      </c>
      <c r="I248" s="52" t="s">
        <v>19</v>
      </c>
      <c r="J248" s="52" t="s">
        <v>19</v>
      </c>
      <c r="K248" s="52" t="str">
        <f t="shared" si="12"/>
        <v>Mpox</v>
      </c>
      <c r="M248" s="55"/>
    </row>
    <row r="249">
      <c r="A249" s="53"/>
      <c r="B249" s="50" t="str">
        <f>IFERROR(__xludf.DUMMYFUNCTION("""COMPUTED_VALUE"""),"Lumbar Puncture                    ")</f>
        <v>Lumbar Puncture                    </v>
      </c>
      <c r="C249" s="53" t="str">
        <f>IFERROR(__xludf.DUMMYFUNCTION("""COMPUTED_VALUE"""),"NCIT:C15327")</f>
        <v>NCIT:C15327</v>
      </c>
      <c r="D249"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9" s="52" t="s">
        <v>19</v>
      </c>
      <c r="I249" s="52" t="s">
        <v>19</v>
      </c>
      <c r="J249" s="52" t="s">
        <v>19</v>
      </c>
      <c r="K249" s="52" t="str">
        <f t="shared" si="12"/>
        <v>Mpox</v>
      </c>
      <c r="M249" s="55"/>
    </row>
    <row r="250">
      <c r="A250" s="53"/>
      <c r="B250" s="50" t="str">
        <f>IFERROR(__xludf.DUMMYFUNCTION("""COMPUTED_VALUE"""),"Necropsy                    ")</f>
        <v>Necropsy                    </v>
      </c>
      <c r="C250" s="53" t="str">
        <f>IFERROR(__xludf.DUMMYFUNCTION("""COMPUTED_VALUE"""),"MMO:0000344")</f>
        <v>MMO:0000344</v>
      </c>
      <c r="D250"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50" s="52" t="s">
        <v>19</v>
      </c>
      <c r="I250" s="52" t="s">
        <v>19</v>
      </c>
      <c r="J250" s="52" t="s">
        <v>19</v>
      </c>
      <c r="K250" s="52" t="str">
        <f t="shared" si="12"/>
        <v>Mpox</v>
      </c>
      <c r="M250" s="55"/>
    </row>
    <row r="251">
      <c r="A251" s="53"/>
      <c r="B251" s="50" t="str">
        <f>IFERROR(__xludf.DUMMYFUNCTION("""COMPUTED_VALUE"""),"Phlebotomy                    ")</f>
        <v>Phlebotomy                    </v>
      </c>
      <c r="C251" s="53" t="str">
        <f>IFERROR(__xludf.DUMMYFUNCTION("""COMPUTED_VALUE"""),"NCIT:C28221")</f>
        <v>NCIT:C28221</v>
      </c>
      <c r="D251" s="29" t="str">
        <f>IFERROR(__xludf.DUMMYFUNCTION("""COMPUTED_VALUE"""),"The collection of blood from a vein, most commonly via needle venipuncture.")</f>
        <v>The collection of blood from a vein, most commonly via needle venipuncture.</v>
      </c>
      <c r="H251" s="52" t="s">
        <v>19</v>
      </c>
      <c r="I251" s="52" t="s">
        <v>19</v>
      </c>
      <c r="J251" s="52" t="s">
        <v>19</v>
      </c>
      <c r="K251" s="52" t="str">
        <f t="shared" si="12"/>
        <v>Mpox</v>
      </c>
      <c r="M251" s="55"/>
    </row>
    <row r="252">
      <c r="A252" s="53"/>
      <c r="B252" s="50" t="str">
        <f>IFERROR(__xludf.DUMMYFUNCTION("""COMPUTED_VALUE"""),"Rinsing                    ")</f>
        <v>Rinsing                    </v>
      </c>
      <c r="C252" s="53" t="str">
        <f>IFERROR(__xludf.DUMMYFUNCTION("""COMPUTED_VALUE"""),"GENEPIO:0002116")</f>
        <v>GENEPIO:0002116</v>
      </c>
      <c r="D252"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52" s="52" t="s">
        <v>19</v>
      </c>
      <c r="I252" s="52" t="s">
        <v>19</v>
      </c>
      <c r="J252" s="52" t="s">
        <v>19</v>
      </c>
      <c r="K252" s="52" t="str">
        <f t="shared" si="12"/>
        <v>Mpox</v>
      </c>
      <c r="M252" s="55"/>
    </row>
    <row r="253">
      <c r="A253" s="53"/>
      <c r="B253" s="50" t="str">
        <f>IFERROR(__xludf.DUMMYFUNCTION("""COMPUTED_VALUE"""),"     Saline gargle (mouth rinse and gargle)               ")</f>
        <v>     Saline gargle (mouth rinse and gargle)               </v>
      </c>
      <c r="C253" s="53" t="str">
        <f>IFERROR(__xludf.DUMMYFUNCTION("""COMPUTED_VALUE"""),"GENEPIO:0100034")</f>
        <v>GENEPIO:0100034</v>
      </c>
      <c r="D253"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3" s="52" t="s">
        <v>19</v>
      </c>
      <c r="I253" s="52" t="s">
        <v>19</v>
      </c>
      <c r="J253" s="52" t="s">
        <v>19</v>
      </c>
      <c r="K253" s="52" t="str">
        <f t="shared" si="12"/>
        <v>Mpox</v>
      </c>
      <c r="M253" s="55"/>
    </row>
    <row r="254">
      <c r="A254" s="53"/>
      <c r="B254" s="50" t="str">
        <f>IFERROR(__xludf.DUMMYFUNCTION("""COMPUTED_VALUE"""),"Scraping                    ")</f>
        <v>Scraping                    </v>
      </c>
      <c r="C254" s="53" t="str">
        <f>IFERROR(__xludf.DUMMYFUNCTION("""COMPUTED_VALUE"""),"GENEPIO:0100035")</f>
        <v>GENEPIO:0100035</v>
      </c>
      <c r="D254"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4" s="52" t="s">
        <v>19</v>
      </c>
      <c r="I254" s="52" t="s">
        <v>19</v>
      </c>
      <c r="J254" s="52" t="s">
        <v>19</v>
      </c>
      <c r="K254" s="52" t="str">
        <f t="shared" si="12"/>
        <v>Mpox</v>
      </c>
      <c r="M254" s="55"/>
    </row>
    <row r="255">
      <c r="A255" s="29"/>
      <c r="B255" s="50" t="str">
        <f>IFERROR(__xludf.DUMMYFUNCTION("""COMPUTED_VALUE"""),"Swabbing                    ")</f>
        <v>Swabbing                    </v>
      </c>
      <c r="C255" s="29" t="str">
        <f>IFERROR(__xludf.DUMMYFUNCTION("""COMPUTED_VALUE"""),"GENEPIO:0002117")</f>
        <v>GENEPIO:0002117</v>
      </c>
      <c r="D255" s="29" t="str">
        <f>IFERROR(__xludf.DUMMYFUNCTION("""COMPUTED_VALUE"""),"The process of collecting specimen material using a swab collection device.")</f>
        <v>The process of collecting specimen material using a swab collection device.</v>
      </c>
      <c r="E255" s="29"/>
      <c r="F255" s="29"/>
      <c r="G255" s="29"/>
      <c r="H255" s="52" t="s">
        <v>19</v>
      </c>
      <c r="I255" s="52" t="s">
        <v>19</v>
      </c>
      <c r="J255" s="52" t="s">
        <v>19</v>
      </c>
      <c r="K255" s="52" t="str">
        <f t="shared" si="12"/>
        <v>Mpox</v>
      </c>
      <c r="M255" s="55"/>
    </row>
    <row r="256">
      <c r="A256" s="29"/>
      <c r="B256" s="50" t="str">
        <f>IFERROR(__xludf.DUMMYFUNCTION("""COMPUTED_VALUE"""),"Thoracentesis (chest tap)                    ")</f>
        <v>Thoracentesis (chest tap)                    </v>
      </c>
      <c r="C256" s="29" t="str">
        <f>IFERROR(__xludf.DUMMYFUNCTION("""COMPUTED_VALUE"""),"NCIT:C15392")</f>
        <v>NCIT:C15392</v>
      </c>
      <c r="D256" s="29" t="str">
        <f>IFERROR(__xludf.DUMMYFUNCTION("""COMPUTED_VALUE"""),"The removal of excess fluid via needle puncture from the thoracic cavity.")</f>
        <v>The removal of excess fluid via needle puncture from the thoracic cavity.</v>
      </c>
      <c r="E256" s="29"/>
      <c r="F256" s="29"/>
      <c r="G256" s="29"/>
      <c r="H256" s="54" t="s">
        <v>19</v>
      </c>
      <c r="I256" s="54" t="s">
        <v>19</v>
      </c>
      <c r="J256" s="54" t="s">
        <v>19</v>
      </c>
      <c r="K256" s="52" t="str">
        <f t="shared" si="12"/>
        <v>Mpox</v>
      </c>
    </row>
    <row r="257">
      <c r="A257" s="29" t="str">
        <f>IFERROR(__xludf.DUMMYFUNCTION("""COMPUTED_VALUE"""),"collection method international menu")</f>
        <v>collection method international menu</v>
      </c>
      <c r="B257" s="50" t="str">
        <f>IFERROR(__xludf.DUMMYFUNCTION("""COMPUTED_VALUE"""),"                    ")</f>
        <v>                    </v>
      </c>
      <c r="C257" s="29"/>
      <c r="D257" s="29" t="str">
        <f>IFERROR(__xludf.DUMMYFUNCTION("""COMPUTED_VALUE"""),"")</f>
        <v/>
      </c>
      <c r="E257" s="29"/>
      <c r="F257" s="29"/>
      <c r="G257" s="29"/>
      <c r="H257" s="54"/>
      <c r="I257" s="54"/>
      <c r="J257" s="54"/>
      <c r="K257" s="53" t="s">
        <v>31</v>
      </c>
      <c r="L257" s="29" t="str">
        <f>LEFT(A257, LEN(A257) - 5)
</f>
        <v>collection method international</v>
      </c>
      <c r="M257" s="58" t="s">
        <v>32</v>
      </c>
    </row>
    <row r="258">
      <c r="A258" s="29"/>
      <c r="B258" s="50" t="str">
        <f>IFERROR(__xludf.DUMMYFUNCTION("""COMPUTED_VALUE"""),"Amniocentesis [NCIT:C52009]                    ")</f>
        <v>Amniocentesis [NCIT:C52009]                    </v>
      </c>
      <c r="C258" s="29" t="str">
        <f>IFERROR(__xludf.DUMMYFUNCTION("""COMPUTED_VALUE"""),"NCIT:C52009")</f>
        <v>NCIT:C52009</v>
      </c>
      <c r="D258"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8" s="29"/>
      <c r="F258" s="29"/>
      <c r="G258" s="29"/>
      <c r="H258" s="54" t="s">
        <v>19</v>
      </c>
      <c r="I258" s="54" t="s">
        <v>19</v>
      </c>
      <c r="J258" s="54" t="s">
        <v>19</v>
      </c>
      <c r="K258" s="52" t="str">
        <f t="shared" ref="K258:K279" si="13">K257</f>
        <v>International</v>
      </c>
      <c r="M258" s="55"/>
    </row>
    <row r="259">
      <c r="A259" s="29"/>
      <c r="B259" s="50" t="str">
        <f>IFERROR(__xludf.DUMMYFUNCTION("""COMPUTED_VALUE"""),"Aspiration [NCIT:C15631]                    ")</f>
        <v>Aspiration [NCIT:C15631]                    </v>
      </c>
      <c r="C259" s="29" t="str">
        <f>IFERROR(__xludf.DUMMYFUNCTION("""COMPUTED_VALUE"""),"NCIT:C15631")</f>
        <v>NCIT:C15631</v>
      </c>
      <c r="D259" s="29" t="str">
        <f>IFERROR(__xludf.DUMMYFUNCTION("""COMPUTED_VALUE"""),"Procedure using suction, usually with a thin needle and syringe, to remove bodily fluid or tissue.")</f>
        <v>Procedure using suction, usually with a thin needle and syringe, to remove bodily fluid or tissue.</v>
      </c>
      <c r="E259" s="29"/>
      <c r="F259" s="29"/>
      <c r="G259" s="29"/>
      <c r="H259" s="54" t="s">
        <v>19</v>
      </c>
      <c r="I259" s="54" t="s">
        <v>19</v>
      </c>
      <c r="J259" s="54" t="s">
        <v>19</v>
      </c>
      <c r="K259" s="52" t="str">
        <f t="shared" si="13"/>
        <v>International</v>
      </c>
      <c r="M259" s="55"/>
    </row>
    <row r="260">
      <c r="A260" s="29"/>
      <c r="B260" s="50" t="str">
        <f>IFERROR(__xludf.DUMMYFUNCTION("""COMPUTED_VALUE"""),"     Suprapubic Aspiration [GENEPIO:0100028]               ")</f>
        <v>     Suprapubic Aspiration [GENEPIO:0100028]               </v>
      </c>
      <c r="C260" s="29" t="str">
        <f>IFERROR(__xludf.DUMMYFUNCTION("""COMPUTED_VALUE"""),"GENEPIO:0100028")</f>
        <v>GENEPIO:0100028</v>
      </c>
      <c r="D260"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60" s="29"/>
      <c r="F260" s="29"/>
      <c r="G260" s="29"/>
      <c r="H260" s="54" t="s">
        <v>19</v>
      </c>
      <c r="I260" s="54" t="s">
        <v>19</v>
      </c>
      <c r="J260" s="54" t="s">
        <v>19</v>
      </c>
      <c r="K260" s="52" t="str">
        <f t="shared" si="13"/>
        <v>International</v>
      </c>
      <c r="M260" s="55"/>
    </row>
    <row r="261">
      <c r="A261" s="29"/>
      <c r="B261" s="50" t="str">
        <f>IFERROR(__xludf.DUMMYFUNCTION("""COMPUTED_VALUE"""),"     Tracheal aspiration [GENEPIO:0100029]               ")</f>
        <v>     Tracheal aspiration [GENEPIO:0100029]               </v>
      </c>
      <c r="C261" s="29" t="str">
        <f>IFERROR(__xludf.DUMMYFUNCTION("""COMPUTED_VALUE"""),"GENEPIO:0100029")</f>
        <v>GENEPIO:0100029</v>
      </c>
      <c r="D261" s="29" t="str">
        <f>IFERROR(__xludf.DUMMYFUNCTION("""COMPUTED_VALUE"""),"An aspiration process which collects tracheal secretions.")</f>
        <v>An aspiration process which collects tracheal secretions.</v>
      </c>
      <c r="E261" s="29"/>
      <c r="F261" s="29"/>
      <c r="G261" s="29"/>
      <c r="H261" s="54" t="s">
        <v>19</v>
      </c>
      <c r="I261" s="54" t="s">
        <v>19</v>
      </c>
      <c r="J261" s="54" t="s">
        <v>19</v>
      </c>
      <c r="K261" s="52" t="str">
        <f t="shared" si="13"/>
        <v>International</v>
      </c>
      <c r="M261" s="55"/>
    </row>
    <row r="262">
      <c r="A262" s="29"/>
      <c r="B262" s="50" t="str">
        <f>IFERROR(__xludf.DUMMYFUNCTION("""COMPUTED_VALUE"""),"     Vacuum Aspiration [GENEPIO:0100030]               ")</f>
        <v>     Vacuum Aspiration [GENEPIO:0100030]               </v>
      </c>
      <c r="C262" s="29" t="str">
        <f>IFERROR(__xludf.DUMMYFUNCTION("""COMPUTED_VALUE"""),"GENEPIO:0100030")</f>
        <v>GENEPIO:0100030</v>
      </c>
      <c r="D262" s="29" t="str">
        <f>IFERROR(__xludf.DUMMYFUNCTION("""COMPUTED_VALUE"""),"An aspiration process which uses a vacuum source to remove a sample.")</f>
        <v>An aspiration process which uses a vacuum source to remove a sample.</v>
      </c>
      <c r="E262" s="29"/>
      <c r="F262" s="29"/>
      <c r="G262" s="29"/>
      <c r="H262" s="54" t="s">
        <v>19</v>
      </c>
      <c r="I262" s="54" t="s">
        <v>19</v>
      </c>
      <c r="J262" s="54" t="s">
        <v>19</v>
      </c>
      <c r="K262" s="52" t="str">
        <f t="shared" si="13"/>
        <v>International</v>
      </c>
      <c r="M262" s="55"/>
    </row>
    <row r="263">
      <c r="A263" s="29"/>
      <c r="B263" s="50" t="str">
        <f>IFERROR(__xludf.DUMMYFUNCTION("""COMPUTED_VALUE"""),"Biopsy [OBI:0002650]                    ")</f>
        <v>Biopsy [OBI:0002650]                    </v>
      </c>
      <c r="C263" s="29" t="str">
        <f>IFERROR(__xludf.DUMMYFUNCTION("""COMPUTED_VALUE"""),"OBI:0002650")</f>
        <v>OBI:0002650</v>
      </c>
      <c r="D263"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3" s="29"/>
      <c r="F263" s="29"/>
      <c r="G263" s="29"/>
      <c r="H263" s="54" t="s">
        <v>19</v>
      </c>
      <c r="I263" s="54" t="s">
        <v>19</v>
      </c>
      <c r="J263" s="54" t="s">
        <v>19</v>
      </c>
      <c r="K263" s="52" t="str">
        <f t="shared" si="13"/>
        <v>International</v>
      </c>
      <c r="M263" s="55"/>
    </row>
    <row r="264">
      <c r="A264" s="29"/>
      <c r="B264" s="50" t="str">
        <f>IFERROR(__xludf.DUMMYFUNCTION("""COMPUTED_VALUE"""),"     Needle Biopsy [OBI:0002651]               ")</f>
        <v>     Needle Biopsy [OBI:0002651]               </v>
      </c>
      <c r="C264" s="29" t="str">
        <f>IFERROR(__xludf.DUMMYFUNCTION("""COMPUTED_VALUE"""),"OBI:0002651")</f>
        <v>OBI:0002651</v>
      </c>
      <c r="D264" s="29" t="str">
        <f>IFERROR(__xludf.DUMMYFUNCTION("""COMPUTED_VALUE"""),"A biopsy that uses a hollow needle to extract cells.")</f>
        <v>A biopsy that uses a hollow needle to extract cells.</v>
      </c>
      <c r="E264" s="29"/>
      <c r="F264" s="29"/>
      <c r="G264" s="29"/>
      <c r="H264" s="54" t="s">
        <v>19</v>
      </c>
      <c r="I264" s="54" t="s">
        <v>19</v>
      </c>
      <c r="J264" s="54" t="s">
        <v>19</v>
      </c>
      <c r="K264" s="52" t="str">
        <f t="shared" si="13"/>
        <v>International</v>
      </c>
      <c r="M264" s="55"/>
    </row>
    <row r="265">
      <c r="A265" s="29"/>
      <c r="B265" s="50" t="str">
        <f>IFERROR(__xludf.DUMMYFUNCTION("""COMPUTED_VALUE"""),"Filtration [OBI:0302885]                    ")</f>
        <v>Filtration [OBI:0302885]                    </v>
      </c>
      <c r="C265" s="29" t="str">
        <f>IFERROR(__xludf.DUMMYFUNCTION("""COMPUTED_VALUE"""),"OBI:0302885")</f>
        <v>OBI:0302885</v>
      </c>
      <c r="D265"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5" s="29"/>
      <c r="F265" s="29"/>
      <c r="G265" s="29"/>
      <c r="H265" s="54" t="s">
        <v>19</v>
      </c>
      <c r="I265" s="54" t="s">
        <v>19</v>
      </c>
      <c r="J265" s="54" t="s">
        <v>19</v>
      </c>
      <c r="K265" s="52" t="str">
        <f t="shared" si="13"/>
        <v>International</v>
      </c>
      <c r="M265" s="55"/>
    </row>
    <row r="266">
      <c r="A266" s="29"/>
      <c r="B266" s="50" t="str">
        <f>IFERROR(__xludf.DUMMYFUNCTION("""COMPUTED_VALUE"""),"     Air filtration [GENEPIO:0100031]               ")</f>
        <v>     Air filtration [GENEPIO:0100031]               </v>
      </c>
      <c r="C266" s="29" t="str">
        <f>IFERROR(__xludf.DUMMYFUNCTION("""COMPUTED_VALUE"""),"GENEPIO:0100031")</f>
        <v>GENEPIO:0100031</v>
      </c>
      <c r="D266" s="29" t="str">
        <f>IFERROR(__xludf.DUMMYFUNCTION("""COMPUTED_VALUE"""),"A filtration process which removes solid particulates from the air via an air filtration device.")</f>
        <v>A filtration process which removes solid particulates from the air via an air filtration device.</v>
      </c>
      <c r="E266" s="29"/>
      <c r="F266" s="29"/>
      <c r="G266" s="29"/>
      <c r="H266" s="54" t="s">
        <v>19</v>
      </c>
      <c r="I266" s="54" t="s">
        <v>19</v>
      </c>
      <c r="J266" s="54" t="s">
        <v>19</v>
      </c>
      <c r="K266" s="52" t="str">
        <f t="shared" si="13"/>
        <v>International</v>
      </c>
      <c r="M266" s="55"/>
    </row>
    <row r="267">
      <c r="A267" s="29"/>
      <c r="B267" s="50" t="str">
        <f>IFERROR(__xludf.DUMMYFUNCTION("""COMPUTED_VALUE"""),"Lavage [OBI:0600044]                    ")</f>
        <v>Lavage [OBI:0600044]                    </v>
      </c>
      <c r="C267" s="29" t="str">
        <f>IFERROR(__xludf.DUMMYFUNCTION("""COMPUTED_VALUE"""),"OBI:0600044")</f>
        <v>OBI:0600044</v>
      </c>
      <c r="D267"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7" s="29"/>
      <c r="F267" s="29"/>
      <c r="G267" s="29"/>
      <c r="H267" s="54" t="s">
        <v>19</v>
      </c>
      <c r="I267" s="54" t="s">
        <v>19</v>
      </c>
      <c r="J267" s="54" t="s">
        <v>19</v>
      </c>
      <c r="K267" s="52" t="str">
        <f t="shared" si="13"/>
        <v>International</v>
      </c>
      <c r="M267" s="55"/>
    </row>
    <row r="268">
      <c r="A268" s="29"/>
      <c r="B268" s="50" t="str">
        <f>IFERROR(__xludf.DUMMYFUNCTION("""COMPUTED_VALUE"""),"     Bronchoalveolar lavage (BAL) [GENEPIO:0100032]               ")</f>
        <v>     Bronchoalveolar lavage (BAL) [GENEPIO:0100032]               </v>
      </c>
      <c r="C268" s="29" t="str">
        <f>IFERROR(__xludf.DUMMYFUNCTION("""COMPUTED_VALUE"""),"GENEPIO:0100032")</f>
        <v>GENEPIO:0100032</v>
      </c>
      <c r="D268" s="29" t="str">
        <f>IFERROR(__xludf.DUMMYFUNCTION("""COMPUTED_VALUE"""),"The collection of bronchoalveolar lavage fluid (BAL) from the lungs.")</f>
        <v>The collection of bronchoalveolar lavage fluid (BAL) from the lungs.</v>
      </c>
      <c r="E268" s="29"/>
      <c r="F268" s="29"/>
      <c r="G268" s="29"/>
      <c r="H268" s="54" t="s">
        <v>19</v>
      </c>
      <c r="I268" s="54" t="s">
        <v>19</v>
      </c>
      <c r="J268" s="54" t="s">
        <v>19</v>
      </c>
      <c r="K268" s="52" t="str">
        <f t="shared" si="13"/>
        <v>International</v>
      </c>
      <c r="M268" s="55"/>
    </row>
    <row r="269">
      <c r="A269" s="29"/>
      <c r="B269" s="50" t="str">
        <f>IFERROR(__xludf.DUMMYFUNCTION("""COMPUTED_VALUE"""),"     Gastric Lavage [GENEPIO:0100033]               ")</f>
        <v>     Gastric Lavage [GENEPIO:0100033]               </v>
      </c>
      <c r="C269" s="29" t="str">
        <f>IFERROR(__xludf.DUMMYFUNCTION("""COMPUTED_VALUE"""),"GENEPIO:0100033")</f>
        <v>GENEPIO:0100033</v>
      </c>
      <c r="D269"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9" s="29"/>
      <c r="F269" s="29"/>
      <c r="G269" s="29"/>
      <c r="H269" s="54" t="s">
        <v>19</v>
      </c>
      <c r="I269" s="54" t="s">
        <v>19</v>
      </c>
      <c r="J269" s="54" t="s">
        <v>19</v>
      </c>
      <c r="K269" s="52" t="str">
        <f t="shared" si="13"/>
        <v>International</v>
      </c>
      <c r="M269" s="55"/>
    </row>
    <row r="270">
      <c r="A270" s="29"/>
      <c r="B270" s="50" t="str">
        <f>IFERROR(__xludf.DUMMYFUNCTION("""COMPUTED_VALUE"""),"Lumbar Puncture [NCIT:C15327]                    ")</f>
        <v>Lumbar Puncture [NCIT:C15327]                    </v>
      </c>
      <c r="C270" s="29" t="str">
        <f>IFERROR(__xludf.DUMMYFUNCTION("""COMPUTED_VALUE"""),"NCIT:C15327")</f>
        <v>NCIT:C15327</v>
      </c>
      <c r="D270"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70" s="29"/>
      <c r="F270" s="29"/>
      <c r="G270" s="29"/>
      <c r="H270" s="54" t="s">
        <v>19</v>
      </c>
      <c r="I270" s="54" t="s">
        <v>19</v>
      </c>
      <c r="J270" s="54" t="s">
        <v>19</v>
      </c>
      <c r="K270" s="52" t="str">
        <f t="shared" si="13"/>
        <v>International</v>
      </c>
      <c r="M270" s="55"/>
    </row>
    <row r="271">
      <c r="A271" s="29"/>
      <c r="B271" s="50" t="str">
        <f>IFERROR(__xludf.DUMMYFUNCTION("""COMPUTED_VALUE"""),"Necropsy [MMO:0000344]                    ")</f>
        <v>Necropsy [MMO:0000344]                    </v>
      </c>
      <c r="C271" s="29" t="str">
        <f>IFERROR(__xludf.DUMMYFUNCTION("""COMPUTED_VALUE"""),"MMO:0000344")</f>
        <v>MMO:0000344</v>
      </c>
      <c r="D271"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71" s="29"/>
      <c r="F271" s="29"/>
      <c r="G271" s="29"/>
      <c r="H271" s="54" t="s">
        <v>19</v>
      </c>
      <c r="I271" s="54" t="s">
        <v>19</v>
      </c>
      <c r="J271" s="54" t="s">
        <v>19</v>
      </c>
      <c r="K271" s="52" t="str">
        <f t="shared" si="13"/>
        <v>International</v>
      </c>
      <c r="M271" s="55"/>
    </row>
    <row r="272">
      <c r="A272" s="29"/>
      <c r="B272" s="50" t="str">
        <f>IFERROR(__xludf.DUMMYFUNCTION("""COMPUTED_VALUE"""),"Phlebotomy [NCIT:C28221]                    ")</f>
        <v>Phlebotomy [NCIT:C28221]                    </v>
      </c>
      <c r="C272" s="29" t="str">
        <f>IFERROR(__xludf.DUMMYFUNCTION("""COMPUTED_VALUE"""),"NCIT:C28221")</f>
        <v>NCIT:C28221</v>
      </c>
      <c r="D272" s="29" t="str">
        <f>IFERROR(__xludf.DUMMYFUNCTION("""COMPUTED_VALUE"""),"The collection of blood from a vein, most commonly via needle venipuncture.")</f>
        <v>The collection of blood from a vein, most commonly via needle venipuncture.</v>
      </c>
      <c r="E272" s="29"/>
      <c r="F272" s="29"/>
      <c r="G272" s="29"/>
      <c r="H272" s="54" t="s">
        <v>19</v>
      </c>
      <c r="I272" s="54" t="s">
        <v>19</v>
      </c>
      <c r="J272" s="54" t="s">
        <v>19</v>
      </c>
      <c r="K272" s="52" t="str">
        <f t="shared" si="13"/>
        <v>International</v>
      </c>
      <c r="M272" s="55"/>
    </row>
    <row r="273">
      <c r="A273" s="29"/>
      <c r="B273" s="50" t="str">
        <f>IFERROR(__xludf.DUMMYFUNCTION("""COMPUTED_VALUE"""),"Rinsing [GENEPIO:0002116]                    ")</f>
        <v>Rinsing [GENEPIO:0002116]                    </v>
      </c>
      <c r="C273" s="29" t="str">
        <f>IFERROR(__xludf.DUMMYFUNCTION("""COMPUTED_VALUE"""),"GENEPIO:0002116")</f>
        <v>GENEPIO:0002116</v>
      </c>
      <c r="D273"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3" s="29"/>
      <c r="F273" s="29"/>
      <c r="G273" s="29"/>
      <c r="H273" s="54" t="s">
        <v>19</v>
      </c>
      <c r="I273" s="54" t="s">
        <v>19</v>
      </c>
      <c r="J273" s="54" t="s">
        <v>19</v>
      </c>
      <c r="K273" s="52" t="str">
        <f t="shared" si="13"/>
        <v>International</v>
      </c>
      <c r="M273" s="55"/>
    </row>
    <row r="274">
      <c r="A274" s="29"/>
      <c r="B274" s="50" t="str">
        <f>IFERROR(__xludf.DUMMYFUNCTION("""COMPUTED_VALUE"""),"     Saline gargle (mouth rinse and gargle) [GENEPIO:0100034]               ")</f>
        <v>     Saline gargle (mouth rinse and gargle) [GENEPIO:0100034]               </v>
      </c>
      <c r="C274" s="29" t="str">
        <f>IFERROR(__xludf.DUMMYFUNCTION("""COMPUTED_VALUE"""),"GENEPIO:0100034")</f>
        <v>GENEPIO:0100034</v>
      </c>
      <c r="D274"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4" s="29"/>
      <c r="F274" s="29"/>
      <c r="G274" s="29"/>
      <c r="H274" s="54" t="s">
        <v>19</v>
      </c>
      <c r="I274" s="54" t="s">
        <v>19</v>
      </c>
      <c r="J274" s="54" t="s">
        <v>19</v>
      </c>
      <c r="K274" s="52" t="str">
        <f t="shared" si="13"/>
        <v>International</v>
      </c>
      <c r="M274" s="55"/>
    </row>
    <row r="275">
      <c r="A275" s="29"/>
      <c r="B275" s="50" t="str">
        <f>IFERROR(__xludf.DUMMYFUNCTION("""COMPUTED_VALUE"""),"Scraping [GENEPIO:0100035]                    ")</f>
        <v>Scraping [GENEPIO:0100035]                    </v>
      </c>
      <c r="C275" s="29" t="str">
        <f>IFERROR(__xludf.DUMMYFUNCTION("""COMPUTED_VALUE"""),"GENEPIO:0100035")</f>
        <v>GENEPIO:0100035</v>
      </c>
      <c r="D275"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5" s="29"/>
      <c r="F275" s="29"/>
      <c r="G275" s="29"/>
      <c r="H275" s="54" t="s">
        <v>19</v>
      </c>
      <c r="I275" s="54" t="s">
        <v>19</v>
      </c>
      <c r="J275" s="54" t="s">
        <v>19</v>
      </c>
      <c r="K275" s="52" t="str">
        <f t="shared" si="13"/>
        <v>International</v>
      </c>
      <c r="M275" s="55"/>
    </row>
    <row r="276">
      <c r="A276" s="29"/>
      <c r="B276" s="50" t="str">
        <f>IFERROR(__xludf.DUMMYFUNCTION("""COMPUTED_VALUE"""),"Swabbing [GENEPIO:0002117]                    ")</f>
        <v>Swabbing [GENEPIO:0002117]                    </v>
      </c>
      <c r="C276" s="29" t="str">
        <f>IFERROR(__xludf.DUMMYFUNCTION("""COMPUTED_VALUE"""),"GENEPIO:0002117")</f>
        <v>GENEPIO:0002117</v>
      </c>
      <c r="D276" s="29" t="str">
        <f>IFERROR(__xludf.DUMMYFUNCTION("""COMPUTED_VALUE"""),"The process of collecting specimen material using a swab collection device.")</f>
        <v>The process of collecting specimen material using a swab collection device.</v>
      </c>
      <c r="E276" s="29"/>
      <c r="F276" s="29"/>
      <c r="G276" s="29"/>
      <c r="H276" s="54" t="s">
        <v>19</v>
      </c>
      <c r="I276" s="54" t="s">
        <v>19</v>
      </c>
      <c r="J276" s="54" t="s">
        <v>19</v>
      </c>
      <c r="K276" s="52" t="str">
        <f t="shared" si="13"/>
        <v>International</v>
      </c>
      <c r="M276" s="55"/>
    </row>
    <row r="277">
      <c r="A277" s="29"/>
      <c r="B277" s="50" t="str">
        <f>IFERROR(__xludf.DUMMYFUNCTION("""COMPUTED_VALUE"""),"     Finger Prick [GENEPIO:0100036]               ")</f>
        <v>     Finger Prick [GENEPIO:0100036]               </v>
      </c>
      <c r="C277" s="29" t="str">
        <f>IFERROR(__xludf.DUMMYFUNCTION("""COMPUTED_VALUE"""),"GENEPIO:0100036")</f>
        <v>GENEPIO:0100036</v>
      </c>
      <c r="D277"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7" s="29"/>
      <c r="F277" s="29"/>
      <c r="G277" s="29"/>
      <c r="H277" s="54" t="s">
        <v>19</v>
      </c>
      <c r="I277" s="54" t="s">
        <v>19</v>
      </c>
      <c r="J277" s="54" t="s">
        <v>19</v>
      </c>
      <c r="K277" s="52" t="str">
        <f t="shared" si="13"/>
        <v>International</v>
      </c>
      <c r="M277" s="55"/>
    </row>
    <row r="278">
      <c r="A278" s="53"/>
      <c r="B278" s="50" t="str">
        <f>IFERROR(__xludf.DUMMYFUNCTION("""COMPUTED_VALUE"""),"Thoracentesis (chest tap) [NCIT:C15392]                    ")</f>
        <v>Thoracentesis (chest tap) [NCIT:C15392]                    </v>
      </c>
      <c r="C278" s="53" t="str">
        <f>IFERROR(__xludf.DUMMYFUNCTION("""COMPUTED_VALUE"""),"NCIT:C15392")</f>
        <v>NCIT:C15392</v>
      </c>
      <c r="D278" s="29" t="str">
        <f>IFERROR(__xludf.DUMMYFUNCTION("""COMPUTED_VALUE"""),"The removal of excess fluid via needle puncture from the thoracic cavity.")</f>
        <v>The removal of excess fluid via needle puncture from the thoracic cavity.</v>
      </c>
      <c r="H278" s="54" t="s">
        <v>19</v>
      </c>
      <c r="I278" s="54" t="s">
        <v>19</v>
      </c>
      <c r="J278" s="54" t="s">
        <v>19</v>
      </c>
      <c r="K278" s="52" t="str">
        <f t="shared" si="13"/>
        <v>International</v>
      </c>
      <c r="M278" s="57"/>
    </row>
    <row r="279">
      <c r="A279" s="53"/>
      <c r="B279" s="50" t="str">
        <f>IFERROR(__xludf.DUMMYFUNCTION("""COMPUTED_VALUE"""),"                    ")</f>
        <v>                    </v>
      </c>
      <c r="C279" s="53"/>
      <c r="D279" s="29" t="str">
        <f>IFERROR(__xludf.DUMMYFUNCTION("""COMPUTED_VALUE"""),"")</f>
        <v/>
      </c>
      <c r="H279" s="52"/>
      <c r="I279" s="52"/>
      <c r="J279" s="52"/>
      <c r="K279" s="52" t="str">
        <f t="shared" si="13"/>
        <v>International</v>
      </c>
    </row>
    <row r="280">
      <c r="A280" s="53" t="str">
        <f>IFERROR(__xludf.DUMMYFUNCTION("""COMPUTED_VALUE"""),"collection device menu")</f>
        <v>collection device menu</v>
      </c>
      <c r="B280" s="50" t="str">
        <f>IFERROR(__xludf.DUMMYFUNCTION("""COMPUTED_VALUE"""),"                    ")</f>
        <v>                    </v>
      </c>
      <c r="C280" s="53"/>
      <c r="D280" s="29" t="str">
        <f>IFERROR(__xludf.DUMMYFUNCTION("""COMPUTED_VALUE"""),"")</f>
        <v/>
      </c>
      <c r="E280" s="53"/>
      <c r="F280" s="53"/>
      <c r="G280" s="53"/>
      <c r="H280" s="52"/>
      <c r="I280" s="52"/>
      <c r="J280" s="52"/>
      <c r="K280" s="53" t="s">
        <v>29</v>
      </c>
      <c r="L280" s="53" t="str">
        <f>LEFT(A280, LEN(A280) - 5)
</f>
        <v>collection device</v>
      </c>
      <c r="M280" s="53" t="str">
        <f>VLOOKUP(L280,'Field Reference Guide'!$B$6:$N$220,13,false)</f>
        <v>Mpox</v>
      </c>
    </row>
    <row r="281">
      <c r="A281" s="53"/>
      <c r="B281" s="50" t="str">
        <f>IFERROR(__xludf.DUMMYFUNCTION("""COMPUTED_VALUE"""),"Blood Collection Tube                    ")</f>
        <v>Blood Collection Tube                    </v>
      </c>
      <c r="C281" s="53" t="str">
        <f>IFERROR(__xludf.DUMMYFUNCTION("""COMPUTED_VALUE"""),"OBI:0002859")</f>
        <v>OBI:0002859</v>
      </c>
      <c r="D281"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81" s="52" t="s">
        <v>19</v>
      </c>
      <c r="I281" s="52" t="s">
        <v>19</v>
      </c>
      <c r="J281" s="52" t="s">
        <v>19</v>
      </c>
      <c r="K281" s="52" t="str">
        <f t="shared" ref="K281:K295" si="14">K280</f>
        <v>Mpox</v>
      </c>
      <c r="M281" s="55"/>
    </row>
    <row r="282">
      <c r="A282" s="53"/>
      <c r="B282" s="50" t="str">
        <f>IFERROR(__xludf.DUMMYFUNCTION("""COMPUTED_VALUE"""),"Bronchoscope                    ")</f>
        <v>Bronchoscope                    </v>
      </c>
      <c r="C282" s="53" t="str">
        <f>IFERROR(__xludf.DUMMYFUNCTION("""COMPUTED_VALUE"""),"OBI:0002826")</f>
        <v>OBI:0002826</v>
      </c>
      <c r="D282" s="29" t="str">
        <f>IFERROR(__xludf.DUMMYFUNCTION("""COMPUTED_VALUE"""),"A device which is a thin, tube-like instrument which includes a light and a lens used to examine a lung.")</f>
        <v>A device which is a thin, tube-like instrument which includes a light and a lens used to examine a lung.</v>
      </c>
      <c r="H282" s="52" t="s">
        <v>19</v>
      </c>
      <c r="I282" s="52" t="s">
        <v>19</v>
      </c>
      <c r="J282" s="52" t="s">
        <v>19</v>
      </c>
      <c r="K282" s="52" t="str">
        <f t="shared" si="14"/>
        <v>Mpox</v>
      </c>
      <c r="M282" s="55"/>
    </row>
    <row r="283">
      <c r="A283" s="53"/>
      <c r="B283" s="50" t="str">
        <f>IFERROR(__xludf.DUMMYFUNCTION("""COMPUTED_VALUE"""),"Collection Container                    ")</f>
        <v>Collection Container                    </v>
      </c>
      <c r="C283" s="53" t="str">
        <f>IFERROR(__xludf.DUMMYFUNCTION("""COMPUTED_VALUE"""),"OBI:0002088")</f>
        <v>OBI:0002088</v>
      </c>
      <c r="D283" s="29" t="str">
        <f>IFERROR(__xludf.DUMMYFUNCTION("""COMPUTED_VALUE"""),"A container with the function of containing a specimen.")</f>
        <v>A container with the function of containing a specimen.</v>
      </c>
      <c r="H283" s="52" t="s">
        <v>19</v>
      </c>
      <c r="I283" s="52" t="s">
        <v>19</v>
      </c>
      <c r="J283" s="52" t="s">
        <v>19</v>
      </c>
      <c r="K283" s="52" t="str">
        <f t="shared" si="14"/>
        <v>Mpox</v>
      </c>
      <c r="M283" s="55"/>
    </row>
    <row r="284">
      <c r="A284" s="53"/>
      <c r="B284" s="50" t="str">
        <f>IFERROR(__xludf.DUMMYFUNCTION("""COMPUTED_VALUE"""),"Collection Cup                    ")</f>
        <v>Collection Cup                    </v>
      </c>
      <c r="C284" s="53" t="str">
        <f>IFERROR(__xludf.DUMMYFUNCTION("""COMPUTED_VALUE"""),"GENEPIO:0100026")</f>
        <v>GENEPIO:0100026</v>
      </c>
      <c r="D284" s="29" t="str">
        <f>IFERROR(__xludf.DUMMYFUNCTION("""COMPUTED_VALUE"""),"A device which is used to collect liquid samples.")</f>
        <v>A device which is used to collect liquid samples.</v>
      </c>
      <c r="H284" s="52" t="s">
        <v>19</v>
      </c>
      <c r="I284" s="52" t="s">
        <v>19</v>
      </c>
      <c r="J284" s="52" t="s">
        <v>19</v>
      </c>
      <c r="K284" s="52" t="str">
        <f t="shared" si="14"/>
        <v>Mpox</v>
      </c>
      <c r="M284" s="55"/>
    </row>
    <row r="285">
      <c r="A285" s="53"/>
      <c r="B285" s="50" t="str">
        <f>IFERROR(__xludf.DUMMYFUNCTION("""COMPUTED_VALUE"""),"Filter                    ")</f>
        <v>Filter                    </v>
      </c>
      <c r="C285" s="53" t="str">
        <f>IFERROR(__xludf.DUMMYFUNCTION("""COMPUTED_VALUE"""),"GENEPIO:0100103")</f>
        <v>GENEPIO:0100103</v>
      </c>
      <c r="D285"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5" s="52" t="s">
        <v>19</v>
      </c>
      <c r="I285" s="52" t="s">
        <v>19</v>
      </c>
      <c r="J285" s="52" t="s">
        <v>19</v>
      </c>
      <c r="K285" s="52" t="str">
        <f t="shared" si="14"/>
        <v>Mpox</v>
      </c>
      <c r="M285" s="55"/>
    </row>
    <row r="286">
      <c r="A286" s="53"/>
      <c r="B286" s="50" t="str">
        <f>IFERROR(__xludf.DUMMYFUNCTION("""COMPUTED_VALUE"""),"Needle                    ")</f>
        <v>Needle                    </v>
      </c>
      <c r="C286" s="53" t="str">
        <f>IFERROR(__xludf.DUMMYFUNCTION("""COMPUTED_VALUE"""),"OBI:0000436")</f>
        <v>OBI:0000436</v>
      </c>
      <c r="D286"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6" s="52" t="s">
        <v>19</v>
      </c>
      <c r="I286" s="52" t="s">
        <v>19</v>
      </c>
      <c r="J286" s="52" t="s">
        <v>19</v>
      </c>
      <c r="K286" s="52" t="str">
        <f t="shared" si="14"/>
        <v>Mpox</v>
      </c>
      <c r="M286" s="55"/>
    </row>
    <row r="287">
      <c r="A287" s="53"/>
      <c r="B287" s="50" t="str">
        <f>IFERROR(__xludf.DUMMYFUNCTION("""COMPUTED_VALUE"""),"Serum Collection Tube                    ")</f>
        <v>Serum Collection Tube                    </v>
      </c>
      <c r="C287" s="53" t="str">
        <f>IFERROR(__xludf.DUMMYFUNCTION("""COMPUTED_VALUE"""),"OBI:0002860")</f>
        <v>OBI:0002860</v>
      </c>
      <c r="D287"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7" s="52" t="s">
        <v>19</v>
      </c>
      <c r="I287" s="52" t="s">
        <v>19</v>
      </c>
      <c r="J287" s="52" t="s">
        <v>19</v>
      </c>
      <c r="K287" s="52" t="str">
        <f t="shared" si="14"/>
        <v>Mpox</v>
      </c>
      <c r="M287" s="55"/>
    </row>
    <row r="288">
      <c r="A288" s="53"/>
      <c r="B288" s="50" t="str">
        <f>IFERROR(__xludf.DUMMYFUNCTION("""COMPUTED_VALUE"""),"Sputum Collection Tube                    ")</f>
        <v>Sputum Collection Tube                    </v>
      </c>
      <c r="C288" s="53" t="str">
        <f>IFERROR(__xludf.DUMMYFUNCTION("""COMPUTED_VALUE"""),"OBI:0002861")</f>
        <v>OBI:0002861</v>
      </c>
      <c r="D288" s="29" t="str">
        <f>IFERROR(__xludf.DUMMYFUNCTION("""COMPUTED_VALUE"""),"A specimen collection tube which is designed for collecting sputum.")</f>
        <v>A specimen collection tube which is designed for collecting sputum.</v>
      </c>
      <c r="H288" s="52" t="s">
        <v>19</v>
      </c>
      <c r="I288" s="52" t="s">
        <v>19</v>
      </c>
      <c r="J288" s="52" t="s">
        <v>19</v>
      </c>
      <c r="K288" s="52" t="str">
        <f t="shared" si="14"/>
        <v>Mpox</v>
      </c>
      <c r="M288" s="55"/>
    </row>
    <row r="289">
      <c r="A289" s="53"/>
      <c r="B289" s="50" t="str">
        <f>IFERROR(__xludf.DUMMYFUNCTION("""COMPUTED_VALUE"""),"Suction Catheter                    ")</f>
        <v>Suction Catheter                    </v>
      </c>
      <c r="C289" s="53" t="str">
        <f>IFERROR(__xludf.DUMMYFUNCTION("""COMPUTED_VALUE"""),"OBI:0002831")</f>
        <v>OBI:0002831</v>
      </c>
      <c r="D289" s="29" t="str">
        <f>IFERROR(__xludf.DUMMYFUNCTION("""COMPUTED_VALUE"""),"A catheter which is used to remove mucus and other secretions from the body.")</f>
        <v>A catheter which is used to remove mucus and other secretions from the body.</v>
      </c>
      <c r="H289" s="52" t="s">
        <v>19</v>
      </c>
      <c r="I289" s="52" t="s">
        <v>19</v>
      </c>
      <c r="J289" s="52" t="s">
        <v>19</v>
      </c>
      <c r="K289" s="52" t="str">
        <f t="shared" si="14"/>
        <v>Mpox</v>
      </c>
      <c r="M289" s="55"/>
    </row>
    <row r="290">
      <c r="A290" s="53"/>
      <c r="B290" s="50" t="str">
        <f>IFERROR(__xludf.DUMMYFUNCTION("""COMPUTED_VALUE"""),"Swab                    ")</f>
        <v>Swab                    </v>
      </c>
      <c r="C290" s="53" t="str">
        <f>IFERROR(__xludf.DUMMYFUNCTION("""COMPUTED_VALUE"""),"GENEPIO:0100027")</f>
        <v>GENEPIO:0100027</v>
      </c>
      <c r="D290" s="29" t="str">
        <f>IFERROR(__xludf.DUMMYFUNCTION("""COMPUTED_VALUE"""),"A device which is a soft, absorbent material mounted on one or both ends of a stick.")</f>
        <v>A device which is a soft, absorbent material mounted on one or both ends of a stick.</v>
      </c>
      <c r="H290" s="52" t="s">
        <v>19</v>
      </c>
      <c r="I290" s="52" t="s">
        <v>19</v>
      </c>
      <c r="J290" s="52" t="s">
        <v>19</v>
      </c>
      <c r="K290" s="52" t="str">
        <f t="shared" si="14"/>
        <v>Mpox</v>
      </c>
      <c r="M290" s="55"/>
    </row>
    <row r="291">
      <c r="A291" s="53"/>
      <c r="B291" s="50" t="str">
        <f>IFERROR(__xludf.DUMMYFUNCTION("""COMPUTED_VALUE"""),"     Dry swab               ")</f>
        <v>     Dry swab               </v>
      </c>
      <c r="C291" s="53" t="str">
        <f>IFERROR(__xludf.DUMMYFUNCTION("""COMPUTED_VALUE"""),"GENEPIO:0100493")</f>
        <v>GENEPIO:0100493</v>
      </c>
      <c r="D291"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H291" s="52" t="s">
        <v>19</v>
      </c>
      <c r="I291" s="52" t="s">
        <v>19</v>
      </c>
      <c r="J291" s="52" t="s">
        <v>19</v>
      </c>
      <c r="K291" s="52" t="str">
        <f t="shared" si="14"/>
        <v>Mpox</v>
      </c>
      <c r="M291" s="55"/>
    </row>
    <row r="292">
      <c r="A292" s="53"/>
      <c r="B292" s="50" t="str">
        <f>IFERROR(__xludf.DUMMYFUNCTION("""COMPUTED_VALUE"""),"Urine Collection Tube                    ")</f>
        <v>Urine Collection Tube                    </v>
      </c>
      <c r="C292" s="53" t="str">
        <f>IFERROR(__xludf.DUMMYFUNCTION("""COMPUTED_VALUE"""),"OBI:0002862")</f>
        <v>OBI:0002862</v>
      </c>
      <c r="D292" s="29" t="str">
        <f>IFERROR(__xludf.DUMMYFUNCTION("""COMPUTED_VALUE"""),"A specimen container which is designed for holding urine.")</f>
        <v>A specimen container which is designed for holding urine.</v>
      </c>
      <c r="H292" s="52" t="s">
        <v>19</v>
      </c>
      <c r="I292" s="52" t="s">
        <v>19</v>
      </c>
      <c r="J292" s="52" t="s">
        <v>19</v>
      </c>
      <c r="K292" s="52" t="str">
        <f t="shared" si="14"/>
        <v>Mpox</v>
      </c>
      <c r="M292" s="55"/>
    </row>
    <row r="293">
      <c r="A293" s="29"/>
      <c r="B293" s="50" t="str">
        <f>IFERROR(__xludf.DUMMYFUNCTION("""COMPUTED_VALUE"""),"Universal Transport Medium (UTM)                    ")</f>
        <v>Universal Transport Medium (UTM)                    </v>
      </c>
      <c r="C293" s="29" t="str">
        <f>IFERROR(__xludf.DUMMYFUNCTION("""COMPUTED_VALUE"""),"GENEPIO:0100509")</f>
        <v>GENEPIO:0100509</v>
      </c>
      <c r="D293"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293" s="29"/>
      <c r="F293" s="29"/>
      <c r="G293" s="29"/>
      <c r="H293" s="54" t="s">
        <v>19</v>
      </c>
      <c r="I293" s="54" t="s">
        <v>19</v>
      </c>
      <c r="J293" s="54" t="s">
        <v>19</v>
      </c>
      <c r="K293" s="52" t="str">
        <f t="shared" si="14"/>
        <v>Mpox</v>
      </c>
      <c r="M293" s="55"/>
    </row>
    <row r="294">
      <c r="A294" s="29"/>
      <c r="B294" s="50" t="str">
        <f>IFERROR(__xludf.DUMMYFUNCTION("""COMPUTED_VALUE"""),"Virus Transport Medium                    ")</f>
        <v>Virus Transport Medium                    </v>
      </c>
      <c r="C294" s="29" t="str">
        <f>IFERROR(__xludf.DUMMYFUNCTION("""COMPUTED_VALUE"""),"OBI:0002866")</f>
        <v>OBI:0002866</v>
      </c>
      <c r="D294" s="29" t="str">
        <f>IFERROR(__xludf.DUMMYFUNCTION("""COMPUTED_VALUE"""),"A medium designed to promote longevity of a viral sample. FROM Corona19")</f>
        <v>A medium designed to promote longevity of a viral sample. FROM Corona19</v>
      </c>
      <c r="E294" s="29"/>
      <c r="F294" s="29"/>
      <c r="G294" s="29"/>
      <c r="H294" s="54" t="s">
        <v>19</v>
      </c>
      <c r="I294" s="54" t="s">
        <v>19</v>
      </c>
      <c r="J294" s="54" t="s">
        <v>19</v>
      </c>
      <c r="K294" s="52" t="str">
        <f t="shared" si="14"/>
        <v>Mpox</v>
      </c>
      <c r="M294" s="57"/>
    </row>
    <row r="295">
      <c r="A295" s="29"/>
      <c r="B295" s="50" t="str">
        <f>IFERROR(__xludf.DUMMYFUNCTION("""COMPUTED_VALUE"""),"                    ")</f>
        <v>                    </v>
      </c>
      <c r="C295" s="29"/>
      <c r="D295" s="29" t="str">
        <f>IFERROR(__xludf.DUMMYFUNCTION("""COMPUTED_VALUE"""),"")</f>
        <v/>
      </c>
      <c r="E295" s="29"/>
      <c r="F295" s="29"/>
      <c r="G295" s="29"/>
      <c r="H295" s="54"/>
      <c r="I295" s="54"/>
      <c r="J295" s="54"/>
      <c r="K295" s="52" t="str">
        <f t="shared" si="14"/>
        <v>Mpox</v>
      </c>
    </row>
    <row r="296">
      <c r="A296" s="29" t="str">
        <f>IFERROR(__xludf.DUMMYFUNCTION("""COMPUTED_VALUE"""),"collection device international menu")</f>
        <v>collection device international menu</v>
      </c>
      <c r="B296" s="50" t="str">
        <f>IFERROR(__xludf.DUMMYFUNCTION("""COMPUTED_VALUE"""),"                    ")</f>
        <v>                    </v>
      </c>
      <c r="C296" s="29"/>
      <c r="D296" s="29" t="str">
        <f>IFERROR(__xludf.DUMMYFUNCTION("""COMPUTED_VALUE"""),"")</f>
        <v/>
      </c>
      <c r="E296" s="29"/>
      <c r="F296" s="29"/>
      <c r="G296" s="29"/>
      <c r="H296" s="54"/>
      <c r="I296" s="54"/>
      <c r="J296" s="54"/>
      <c r="K296" s="53" t="s">
        <v>31</v>
      </c>
      <c r="L296" s="29" t="str">
        <f>LEFT(A296, LEN(A296) - 5)
</f>
        <v>collection device international</v>
      </c>
      <c r="M296" s="58" t="s">
        <v>32</v>
      </c>
    </row>
    <row r="297">
      <c r="A297" s="29"/>
      <c r="B297" s="50" t="str">
        <f>IFERROR(__xludf.DUMMYFUNCTION("""COMPUTED_VALUE"""),"Blood Collection Tube [OBI:0002859]                    ")</f>
        <v>Blood Collection Tube [OBI:0002859]                    </v>
      </c>
      <c r="C297" s="29" t="str">
        <f>IFERROR(__xludf.DUMMYFUNCTION("""COMPUTED_VALUE"""),"OBI:0002859")</f>
        <v>OBI:0002859</v>
      </c>
      <c r="D297"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7" s="29"/>
      <c r="F297" s="29"/>
      <c r="G297" s="29"/>
      <c r="H297" s="54" t="s">
        <v>19</v>
      </c>
      <c r="I297" s="54" t="s">
        <v>19</v>
      </c>
      <c r="J297" s="54" t="s">
        <v>19</v>
      </c>
      <c r="K297" s="52" t="str">
        <f t="shared" ref="K297:K311" si="15">K296</f>
        <v>International</v>
      </c>
      <c r="M297" s="55"/>
    </row>
    <row r="298">
      <c r="A298" s="29"/>
      <c r="B298" s="50" t="str">
        <f>IFERROR(__xludf.DUMMYFUNCTION("""COMPUTED_VALUE"""),"Bronchoscope [OBI:0002826]                    ")</f>
        <v>Bronchoscope [OBI:0002826]                    </v>
      </c>
      <c r="C298" s="29" t="str">
        <f>IFERROR(__xludf.DUMMYFUNCTION("""COMPUTED_VALUE"""),"OBI:0002826")</f>
        <v>OBI:0002826</v>
      </c>
      <c r="D298" s="29" t="str">
        <f>IFERROR(__xludf.DUMMYFUNCTION("""COMPUTED_VALUE"""),"A device which is a thin, tube-like instrument which includes a light and a lens used to examine a lung.")</f>
        <v>A device which is a thin, tube-like instrument which includes a light and a lens used to examine a lung.</v>
      </c>
      <c r="E298" s="29"/>
      <c r="F298" s="29"/>
      <c r="G298" s="29"/>
      <c r="H298" s="54" t="s">
        <v>19</v>
      </c>
      <c r="I298" s="54" t="s">
        <v>19</v>
      </c>
      <c r="J298" s="54" t="s">
        <v>19</v>
      </c>
      <c r="K298" s="52" t="str">
        <f t="shared" si="15"/>
        <v>International</v>
      </c>
      <c r="M298" s="55"/>
    </row>
    <row r="299">
      <c r="A299" s="29"/>
      <c r="B299" s="50" t="str">
        <f>IFERROR(__xludf.DUMMYFUNCTION("""COMPUTED_VALUE"""),"Collection Container [OBI:0002088]                    ")</f>
        <v>Collection Container [OBI:0002088]                    </v>
      </c>
      <c r="C299" s="29" t="str">
        <f>IFERROR(__xludf.DUMMYFUNCTION("""COMPUTED_VALUE"""),"OBI:0002088")</f>
        <v>OBI:0002088</v>
      </c>
      <c r="D299" s="29" t="str">
        <f>IFERROR(__xludf.DUMMYFUNCTION("""COMPUTED_VALUE"""),"A container with the function of containing a specimen.")</f>
        <v>A container with the function of containing a specimen.</v>
      </c>
      <c r="E299" s="29"/>
      <c r="F299" s="29"/>
      <c r="G299" s="29"/>
      <c r="H299" s="54" t="s">
        <v>19</v>
      </c>
      <c r="I299" s="54" t="s">
        <v>19</v>
      </c>
      <c r="J299" s="54" t="s">
        <v>19</v>
      </c>
      <c r="K299" s="52" t="str">
        <f t="shared" si="15"/>
        <v>International</v>
      </c>
      <c r="M299" s="55"/>
    </row>
    <row r="300">
      <c r="A300" s="29"/>
      <c r="B300" s="50" t="str">
        <f>IFERROR(__xludf.DUMMYFUNCTION("""COMPUTED_VALUE"""),"Collection Cup [GENEPIO:0100026]                    ")</f>
        <v>Collection Cup [GENEPIO:0100026]                    </v>
      </c>
      <c r="C300" s="29" t="str">
        <f>IFERROR(__xludf.DUMMYFUNCTION("""COMPUTED_VALUE"""),"GENEPIO:0100026")</f>
        <v>GENEPIO:0100026</v>
      </c>
      <c r="D300" s="29" t="str">
        <f>IFERROR(__xludf.DUMMYFUNCTION("""COMPUTED_VALUE"""),"A device which is used to collect liquid samples.")</f>
        <v>A device which is used to collect liquid samples.</v>
      </c>
      <c r="E300" s="29"/>
      <c r="F300" s="29"/>
      <c r="G300" s="29"/>
      <c r="H300" s="54" t="s">
        <v>19</v>
      </c>
      <c r="I300" s="54" t="s">
        <v>19</v>
      </c>
      <c r="J300" s="54" t="s">
        <v>19</v>
      </c>
      <c r="K300" s="52" t="str">
        <f t="shared" si="15"/>
        <v>International</v>
      </c>
      <c r="M300" s="55"/>
    </row>
    <row r="301">
      <c r="A301" s="29"/>
      <c r="B301" s="50" t="str">
        <f>IFERROR(__xludf.DUMMYFUNCTION("""COMPUTED_VALUE"""),"Filter [GENEPIO:0100103]                    ")</f>
        <v>Filter [GENEPIO:0100103]                    </v>
      </c>
      <c r="C301" s="29" t="str">
        <f>IFERROR(__xludf.DUMMYFUNCTION("""COMPUTED_VALUE"""),"GENEPIO:0100103")</f>
        <v>GENEPIO:0100103</v>
      </c>
      <c r="D301"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01" s="29"/>
      <c r="F301" s="29"/>
      <c r="G301" s="29"/>
      <c r="H301" s="54" t="s">
        <v>19</v>
      </c>
      <c r="I301" s="54" t="s">
        <v>19</v>
      </c>
      <c r="J301" s="54" t="s">
        <v>19</v>
      </c>
      <c r="K301" s="52" t="str">
        <f t="shared" si="15"/>
        <v>International</v>
      </c>
      <c r="M301" s="55"/>
    </row>
    <row r="302">
      <c r="A302" s="29"/>
      <c r="B302" s="50" t="str">
        <f>IFERROR(__xludf.DUMMYFUNCTION("""COMPUTED_VALUE"""),"Needle [OBI:0000436]                    ")</f>
        <v>Needle [OBI:0000436]                    </v>
      </c>
      <c r="C302" s="29" t="str">
        <f>IFERROR(__xludf.DUMMYFUNCTION("""COMPUTED_VALUE"""),"OBI:0000436")</f>
        <v>OBI:0000436</v>
      </c>
      <c r="D302"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2" s="29"/>
      <c r="F302" s="29"/>
      <c r="G302" s="29"/>
      <c r="H302" s="54" t="s">
        <v>19</v>
      </c>
      <c r="I302" s="54" t="s">
        <v>19</v>
      </c>
      <c r="J302" s="54" t="s">
        <v>19</v>
      </c>
      <c r="K302" s="52" t="str">
        <f t="shared" si="15"/>
        <v>International</v>
      </c>
      <c r="M302" s="55"/>
    </row>
    <row r="303">
      <c r="A303" s="29"/>
      <c r="B303" s="50" t="str">
        <f>IFERROR(__xludf.DUMMYFUNCTION("""COMPUTED_VALUE"""),"Serum Collection Tube [OBI:0002860]                    ")</f>
        <v>Serum Collection Tube [OBI:0002860]                    </v>
      </c>
      <c r="C303" s="29" t="str">
        <f>IFERROR(__xludf.DUMMYFUNCTION("""COMPUTED_VALUE"""),"OBI:0002860")</f>
        <v>OBI:0002860</v>
      </c>
      <c r="D303"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3" s="29"/>
      <c r="F303" s="29"/>
      <c r="G303" s="29"/>
      <c r="H303" s="54" t="s">
        <v>19</v>
      </c>
      <c r="I303" s="54" t="s">
        <v>19</v>
      </c>
      <c r="J303" s="54" t="s">
        <v>19</v>
      </c>
      <c r="K303" s="52" t="str">
        <f t="shared" si="15"/>
        <v>International</v>
      </c>
      <c r="M303" s="55"/>
    </row>
    <row r="304">
      <c r="A304" s="29"/>
      <c r="B304" s="50" t="str">
        <f>IFERROR(__xludf.DUMMYFUNCTION("""COMPUTED_VALUE"""),"Sputum Collection Tube [OBI:0002861]                    ")</f>
        <v>Sputum Collection Tube [OBI:0002861]                    </v>
      </c>
      <c r="C304" s="29" t="str">
        <f>IFERROR(__xludf.DUMMYFUNCTION("""COMPUTED_VALUE"""),"OBI:0002861")</f>
        <v>OBI:0002861</v>
      </c>
      <c r="D304" s="29" t="str">
        <f>IFERROR(__xludf.DUMMYFUNCTION("""COMPUTED_VALUE"""),"A specimen collection tube which is designed for collecting sputum.")</f>
        <v>A specimen collection tube which is designed for collecting sputum.</v>
      </c>
      <c r="E304" s="29"/>
      <c r="F304" s="29"/>
      <c r="G304" s="29"/>
      <c r="H304" s="54" t="s">
        <v>19</v>
      </c>
      <c r="I304" s="54" t="s">
        <v>19</v>
      </c>
      <c r="J304" s="54" t="s">
        <v>19</v>
      </c>
      <c r="K304" s="52" t="str">
        <f t="shared" si="15"/>
        <v>International</v>
      </c>
      <c r="M304" s="55"/>
    </row>
    <row r="305">
      <c r="A305" s="29"/>
      <c r="B305" s="50" t="str">
        <f>IFERROR(__xludf.DUMMYFUNCTION("""COMPUTED_VALUE"""),"Suction Catheter [OBI:0002831]                    ")</f>
        <v>Suction Catheter [OBI:0002831]                    </v>
      </c>
      <c r="C305" s="29" t="str">
        <f>IFERROR(__xludf.DUMMYFUNCTION("""COMPUTED_VALUE"""),"OBI:0002831")</f>
        <v>OBI:0002831</v>
      </c>
      <c r="D305" s="29" t="str">
        <f>IFERROR(__xludf.DUMMYFUNCTION("""COMPUTED_VALUE"""),"A catheter which is used to remove mucus and other secretions from the body.")</f>
        <v>A catheter which is used to remove mucus and other secretions from the body.</v>
      </c>
      <c r="E305" s="29"/>
      <c r="F305" s="29"/>
      <c r="G305" s="29"/>
      <c r="H305" s="54" t="s">
        <v>19</v>
      </c>
      <c r="I305" s="54" t="s">
        <v>19</v>
      </c>
      <c r="J305" s="54" t="s">
        <v>19</v>
      </c>
      <c r="K305" s="52" t="str">
        <f t="shared" si="15"/>
        <v>International</v>
      </c>
      <c r="M305" s="55"/>
    </row>
    <row r="306">
      <c r="A306" s="29"/>
      <c r="B306" s="50" t="str">
        <f>IFERROR(__xludf.DUMMYFUNCTION("""COMPUTED_VALUE"""),"Swab [GENEPIO:0100027]                    ")</f>
        <v>Swab [GENEPIO:0100027]                    </v>
      </c>
      <c r="C306" s="29" t="str">
        <f>IFERROR(__xludf.DUMMYFUNCTION("""COMPUTED_VALUE"""),"GENEPIO:0100027")</f>
        <v>GENEPIO:0100027</v>
      </c>
      <c r="D306" s="29" t="str">
        <f>IFERROR(__xludf.DUMMYFUNCTION("""COMPUTED_VALUE"""),"A device which is a soft, absorbent material mounted on one or both ends of a stick.")</f>
        <v>A device which is a soft, absorbent material mounted on one or both ends of a stick.</v>
      </c>
      <c r="E306" s="29"/>
      <c r="F306" s="29"/>
      <c r="G306" s="29"/>
      <c r="H306" s="54" t="s">
        <v>19</v>
      </c>
      <c r="I306" s="54" t="s">
        <v>19</v>
      </c>
      <c r="J306" s="54" t="s">
        <v>19</v>
      </c>
      <c r="K306" s="52" t="str">
        <f t="shared" si="15"/>
        <v>International</v>
      </c>
      <c r="M306" s="55"/>
    </row>
    <row r="307">
      <c r="A307" s="29"/>
      <c r="B307" s="50" t="str">
        <f>IFERROR(__xludf.DUMMYFUNCTION("""COMPUTED_VALUE"""),"     Dry swab [GENEPIO:0100493]               ")</f>
        <v>     Dry swab [GENEPIO:0100493]               </v>
      </c>
      <c r="C307" s="29" t="str">
        <f>IFERROR(__xludf.DUMMYFUNCTION("""COMPUTED_VALUE"""),"GENEPIO:0100493")</f>
        <v>GENEPIO:0100493</v>
      </c>
      <c r="D307"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E307" s="29"/>
      <c r="F307" s="29"/>
      <c r="G307" s="29"/>
      <c r="H307" s="54" t="s">
        <v>19</v>
      </c>
      <c r="I307" s="54" t="s">
        <v>19</v>
      </c>
      <c r="J307" s="54" t="s">
        <v>19</v>
      </c>
      <c r="K307" s="52" t="str">
        <f t="shared" si="15"/>
        <v>International</v>
      </c>
      <c r="M307" s="55"/>
    </row>
    <row r="308">
      <c r="A308" s="29"/>
      <c r="B308" s="50" t="str">
        <f>IFERROR(__xludf.DUMMYFUNCTION("""COMPUTED_VALUE"""),"Urine Collection Tube [OBI:0002862]                    ")</f>
        <v>Urine Collection Tube [OBI:0002862]                    </v>
      </c>
      <c r="C308" s="29" t="str">
        <f>IFERROR(__xludf.DUMMYFUNCTION("""COMPUTED_VALUE"""),"OBI:0002862")</f>
        <v>OBI:0002862</v>
      </c>
      <c r="D308" s="29" t="str">
        <f>IFERROR(__xludf.DUMMYFUNCTION("""COMPUTED_VALUE"""),"A specimen container which is designed for holding urine.")</f>
        <v>A specimen container which is designed for holding urine.</v>
      </c>
      <c r="E308" s="29"/>
      <c r="F308" s="29"/>
      <c r="G308" s="29"/>
      <c r="H308" s="54" t="s">
        <v>19</v>
      </c>
      <c r="I308" s="54" t="s">
        <v>19</v>
      </c>
      <c r="J308" s="54" t="s">
        <v>19</v>
      </c>
      <c r="K308" s="52" t="str">
        <f t="shared" si="15"/>
        <v>International</v>
      </c>
      <c r="M308" s="55"/>
    </row>
    <row r="309">
      <c r="A309" s="29"/>
      <c r="B309" s="50" t="str">
        <f>IFERROR(__xludf.DUMMYFUNCTION("""COMPUTED_VALUE"""),"Universal Transport Medium (UTM) [GENEPIO:0100509]                    ")</f>
        <v>Universal Transport Medium (UTM) [GENEPIO:0100509]                    </v>
      </c>
      <c r="C309" s="29" t="str">
        <f>IFERROR(__xludf.DUMMYFUNCTION("""COMPUTED_VALUE"""),"GENEPIO:0100509")</f>
        <v>GENEPIO:0100509</v>
      </c>
      <c r="D309"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309" s="29"/>
      <c r="F309" s="29"/>
      <c r="G309" s="29"/>
      <c r="H309" s="54" t="s">
        <v>19</v>
      </c>
      <c r="I309" s="30" t="s">
        <v>30</v>
      </c>
      <c r="J309" s="30" t="s">
        <v>30</v>
      </c>
      <c r="K309" s="52" t="str">
        <f t="shared" si="15"/>
        <v>International</v>
      </c>
      <c r="M309" s="55"/>
    </row>
    <row r="310">
      <c r="A310" s="53"/>
      <c r="B310" s="50" t="str">
        <f>IFERROR(__xludf.DUMMYFUNCTION("""COMPUTED_VALUE"""),"Virus Transport Medium [OBI:0002866]                    ")</f>
        <v>Virus Transport Medium [OBI:0002866]                    </v>
      </c>
      <c r="C310" s="53" t="str">
        <f>IFERROR(__xludf.DUMMYFUNCTION("""COMPUTED_VALUE"""),"OBI:0002866")</f>
        <v>OBI:0002866</v>
      </c>
      <c r="D310" s="29" t="str">
        <f>IFERROR(__xludf.DUMMYFUNCTION("""COMPUTED_VALUE"""),"A medium designed to promote longevity of a viral sample. FROM Corona19")</f>
        <v>A medium designed to promote longevity of a viral sample. FROM Corona19</v>
      </c>
      <c r="H310" s="54" t="s">
        <v>19</v>
      </c>
      <c r="I310" s="30" t="s">
        <v>30</v>
      </c>
      <c r="J310" s="30" t="s">
        <v>30</v>
      </c>
      <c r="K310" s="52" t="str">
        <f t="shared" si="15"/>
        <v>International</v>
      </c>
      <c r="M310" s="57"/>
    </row>
    <row r="311">
      <c r="A311" s="53"/>
      <c r="B311" s="50" t="str">
        <f>IFERROR(__xludf.DUMMYFUNCTION("""COMPUTED_VALUE"""),"                    ")</f>
        <v>                    </v>
      </c>
      <c r="C311" s="53"/>
      <c r="D311" s="29" t="str">
        <f>IFERROR(__xludf.DUMMYFUNCTION("""COMPUTED_VALUE"""),"")</f>
        <v/>
      </c>
      <c r="H311" s="52"/>
      <c r="I311" s="52"/>
      <c r="J311" s="52"/>
      <c r="K311" s="52" t="str">
        <f t="shared" si="15"/>
        <v>International</v>
      </c>
    </row>
    <row r="312">
      <c r="A312" s="53" t="str">
        <f>IFERROR(__xludf.DUMMYFUNCTION("""COMPUTED_VALUE"""),"specimen processing menu")</f>
        <v>specimen processing menu</v>
      </c>
      <c r="B312" s="50" t="str">
        <f>IFERROR(__xludf.DUMMYFUNCTION("""COMPUTED_VALUE"""),"                    ")</f>
        <v>                    </v>
      </c>
      <c r="C312" s="53"/>
      <c r="D312" s="29" t="str">
        <f>IFERROR(__xludf.DUMMYFUNCTION("""COMPUTED_VALUE"""),"")</f>
        <v/>
      </c>
      <c r="E312" s="53"/>
      <c r="F312" s="53"/>
      <c r="G312" s="53"/>
      <c r="H312" s="52"/>
      <c r="I312" s="52"/>
      <c r="J312" s="52"/>
      <c r="K312" s="53" t="s">
        <v>29</v>
      </c>
      <c r="L312" s="53" t="str">
        <f>LEFT(A312, LEN(A312) - 5)
</f>
        <v>specimen processing</v>
      </c>
      <c r="M312" s="53" t="str">
        <f>VLOOKUP(L312,'Field Reference Guide'!$B$6:$N$220,13,false)</f>
        <v>Mpox</v>
      </c>
    </row>
    <row r="313">
      <c r="A313" s="53"/>
      <c r="B313" s="50" t="str">
        <f>IFERROR(__xludf.DUMMYFUNCTION("""COMPUTED_VALUE"""),"Virus passage                    ")</f>
        <v>Virus passage                    </v>
      </c>
      <c r="C313" s="53" t="str">
        <f>IFERROR(__xludf.DUMMYFUNCTION("""COMPUTED_VALUE"""),"GENEPIO:0100039")</f>
        <v>GENEPIO:0100039</v>
      </c>
      <c r="D313" s="29" t="str">
        <f>IFERROR(__xludf.DUMMYFUNCTION("""COMPUTED_VALUE"""),"The process of growing a virus in serial iterations.")</f>
        <v>The process of growing a virus in serial iterations.</v>
      </c>
      <c r="H313" s="52" t="s">
        <v>19</v>
      </c>
      <c r="I313" s="52" t="s">
        <v>19</v>
      </c>
      <c r="J313" s="52" t="s">
        <v>19</v>
      </c>
      <c r="K313" s="52" t="str">
        <f t="shared" ref="K313:K314" si="16">K312</f>
        <v>Mpox</v>
      </c>
      <c r="M313" s="55"/>
    </row>
    <row r="314">
      <c r="A314" s="29"/>
      <c r="B314" s="50" t="str">
        <f>IFERROR(__xludf.DUMMYFUNCTION("""COMPUTED_VALUE"""),"Specimens pooled                    ")</f>
        <v>Specimens pooled                    </v>
      </c>
      <c r="C314" s="29" t="str">
        <f>IFERROR(__xludf.DUMMYFUNCTION("""COMPUTED_VALUE"""),"OBI:0600016")</f>
        <v>OBI:0600016</v>
      </c>
      <c r="D314" s="29" t="str">
        <f>IFERROR(__xludf.DUMMYFUNCTION("""COMPUTED_VALUE"""),"Physical combination of several instances of like material.")</f>
        <v>Physical combination of several instances of like material.</v>
      </c>
      <c r="E314" s="29"/>
      <c r="F314" s="29"/>
      <c r="G314" s="29"/>
      <c r="H314" s="52" t="s">
        <v>19</v>
      </c>
      <c r="I314" s="52" t="s">
        <v>19</v>
      </c>
      <c r="J314" s="52" t="s">
        <v>19</v>
      </c>
      <c r="K314" s="52" t="str">
        <f t="shared" si="16"/>
        <v>Mpox</v>
      </c>
      <c r="M314" s="55"/>
    </row>
    <row r="315">
      <c r="A315" s="29" t="str">
        <f>IFERROR(__xludf.DUMMYFUNCTION("""COMPUTED_VALUE"""),"specimen processing international menu")</f>
        <v>specimen processing international menu</v>
      </c>
      <c r="B315" s="50" t="str">
        <f>IFERROR(__xludf.DUMMYFUNCTION("""COMPUTED_VALUE"""),"                    ")</f>
        <v>                    </v>
      </c>
      <c r="C315" s="29"/>
      <c r="D315" s="29" t="str">
        <f>IFERROR(__xludf.DUMMYFUNCTION("""COMPUTED_VALUE"""),"")</f>
        <v/>
      </c>
      <c r="E315" s="29"/>
      <c r="F315" s="29"/>
      <c r="G315" s="29"/>
      <c r="H315" s="54"/>
      <c r="I315" s="54"/>
      <c r="J315" s="54"/>
      <c r="K315" s="53" t="s">
        <v>31</v>
      </c>
      <c r="L315" s="29" t="str">
        <f>LEFT(A315, LEN(A315) - 5)
</f>
        <v>specimen processing international</v>
      </c>
      <c r="M315" s="58" t="s">
        <v>32</v>
      </c>
    </row>
    <row r="316">
      <c r="A316" s="29"/>
      <c r="B316" s="50" t="str">
        <f>IFERROR(__xludf.DUMMYFUNCTION("""COMPUTED_VALUE"""),"Virus passage [GENEPIO:0100039]                    ")</f>
        <v>Virus passage [GENEPIO:0100039]                    </v>
      </c>
      <c r="C316" s="29" t="str">
        <f>IFERROR(__xludf.DUMMYFUNCTION("""COMPUTED_VALUE"""),"GENEPIO:0100039")</f>
        <v>GENEPIO:0100039</v>
      </c>
      <c r="D316" s="29" t="str">
        <f>IFERROR(__xludf.DUMMYFUNCTION("""COMPUTED_VALUE"""),"The process of growing a virus in serial iterations.")</f>
        <v>The process of growing a virus in serial iterations.</v>
      </c>
      <c r="E316" s="29"/>
      <c r="F316" s="29"/>
      <c r="G316" s="29"/>
      <c r="H316" s="54" t="s">
        <v>19</v>
      </c>
      <c r="I316" s="54" t="s">
        <v>19</v>
      </c>
      <c r="J316" s="54" t="s">
        <v>19</v>
      </c>
      <c r="K316" s="52" t="str">
        <f t="shared" ref="K316:K317" si="17">K315</f>
        <v>International</v>
      </c>
      <c r="M316" s="56"/>
    </row>
    <row r="317">
      <c r="A317" s="29"/>
      <c r="B317" s="50" t="str">
        <f>IFERROR(__xludf.DUMMYFUNCTION("""COMPUTED_VALUE"""),"Specimens pooled [OBI:0600016]                    ")</f>
        <v>Specimens pooled [OBI:0600016]                    </v>
      </c>
      <c r="C317" s="29" t="str">
        <f>IFERROR(__xludf.DUMMYFUNCTION("""COMPUTED_VALUE"""),"OBI:0600016")</f>
        <v>OBI:0600016</v>
      </c>
      <c r="D317" s="29" t="str">
        <f>IFERROR(__xludf.DUMMYFUNCTION("""COMPUTED_VALUE"""),"Physical combination of several instances of like material.")</f>
        <v>Physical combination of several instances of like material.</v>
      </c>
      <c r="E317" s="29"/>
      <c r="F317" s="29"/>
      <c r="G317" s="29"/>
      <c r="H317" s="54" t="s">
        <v>19</v>
      </c>
      <c r="I317" s="54" t="s">
        <v>19</v>
      </c>
      <c r="J317" s="54" t="s">
        <v>19</v>
      </c>
      <c r="K317" s="52" t="str">
        <f t="shared" si="17"/>
        <v>International</v>
      </c>
      <c r="M317" s="55"/>
    </row>
    <row r="318">
      <c r="A318" s="29" t="str">
        <f>IFERROR(__xludf.DUMMYFUNCTION("""COMPUTED_VALUE"""),"experimental specimen role type menu")</f>
        <v>experimental specimen role type menu</v>
      </c>
      <c r="B318" s="50" t="str">
        <f>IFERROR(__xludf.DUMMYFUNCTION("""COMPUTED_VALUE"""),"                    ")</f>
        <v>                    </v>
      </c>
      <c r="C318" s="29"/>
      <c r="D318" s="29" t="str">
        <f>IFERROR(__xludf.DUMMYFUNCTION("""COMPUTED_VALUE"""),"")</f>
        <v/>
      </c>
      <c r="E318" s="29"/>
      <c r="F318" s="29"/>
      <c r="G318" s="29"/>
      <c r="H318" s="54"/>
      <c r="I318" s="54"/>
      <c r="J318" s="54"/>
      <c r="K318" s="53" t="s">
        <v>29</v>
      </c>
      <c r="L318" s="53" t="str">
        <f>LEFT(A318, LEN(A318) - 5)
</f>
        <v>experimental specimen role type</v>
      </c>
      <c r="M318" s="60" t="s">
        <v>29</v>
      </c>
    </row>
    <row r="319">
      <c r="A319" s="53"/>
      <c r="B319" s="50" t="str">
        <f>IFERROR(__xludf.DUMMYFUNCTION("""COMPUTED_VALUE"""),"Positive experimental control                    ")</f>
        <v>Positive experimental control                    </v>
      </c>
      <c r="C319" s="53" t="str">
        <f>IFERROR(__xludf.DUMMYFUNCTION("""COMPUTED_VALUE"""),"GENEPIO:0101018")</f>
        <v>GENEPIO:0101018</v>
      </c>
      <c r="D319"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H319" s="52" t="s">
        <v>21</v>
      </c>
      <c r="I319" s="52" t="s">
        <v>21</v>
      </c>
      <c r="J319" s="52" t="s">
        <v>21</v>
      </c>
      <c r="K319" s="52" t="str">
        <f t="shared" ref="K319:K322" si="18">K318</f>
        <v>Mpox</v>
      </c>
    </row>
    <row r="320">
      <c r="A320" s="53"/>
      <c r="B320" s="50" t="str">
        <f>IFERROR(__xludf.DUMMYFUNCTION("""COMPUTED_VALUE"""),"Negative experimental control                    ")</f>
        <v>Negative experimental control                    </v>
      </c>
      <c r="C320" s="53" t="str">
        <f>IFERROR(__xludf.DUMMYFUNCTION("""COMPUTED_VALUE"""),"GENEPIO:0101019")</f>
        <v>GENEPIO:0101019</v>
      </c>
      <c r="D320"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H320" s="52" t="s">
        <v>21</v>
      </c>
      <c r="I320" s="52" t="s">
        <v>21</v>
      </c>
      <c r="J320" s="52" t="s">
        <v>21</v>
      </c>
      <c r="K320" s="52" t="str">
        <f t="shared" si="18"/>
        <v>Mpox</v>
      </c>
      <c r="M320" s="56"/>
    </row>
    <row r="321">
      <c r="A321" s="29"/>
      <c r="B321" s="50" t="str">
        <f>IFERROR(__xludf.DUMMYFUNCTION("""COMPUTED_VALUE"""),"Technical replicate                    ")</f>
        <v>Technical replicate                    </v>
      </c>
      <c r="C321" s="29" t="str">
        <f>IFERROR(__xludf.DUMMYFUNCTION("""COMPUTED_VALUE"""),"EFO:0002090")</f>
        <v>EFO:0002090</v>
      </c>
      <c r="D321"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1" s="29"/>
      <c r="F321" s="29"/>
      <c r="G321" s="29"/>
      <c r="H321" s="52" t="s">
        <v>21</v>
      </c>
      <c r="I321" s="52" t="s">
        <v>21</v>
      </c>
      <c r="J321" s="52" t="s">
        <v>21</v>
      </c>
      <c r="K321" s="52" t="str">
        <f t="shared" si="18"/>
        <v>Mpox</v>
      </c>
      <c r="M321" s="55"/>
    </row>
    <row r="322">
      <c r="A322" s="29"/>
      <c r="B322" s="50" t="str">
        <f>IFERROR(__xludf.DUMMYFUNCTION("""COMPUTED_VALUE"""),"Biological replicate                    ")</f>
        <v>Biological replicate                    </v>
      </c>
      <c r="C322" s="29" t="str">
        <f>IFERROR(__xludf.DUMMYFUNCTION("""COMPUTED_VALUE"""),"EFO:0002091")</f>
        <v>EFO:0002091</v>
      </c>
      <c r="D322"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2" s="29"/>
      <c r="F322" s="29"/>
      <c r="G322" s="29"/>
      <c r="H322" s="52" t="s">
        <v>21</v>
      </c>
      <c r="I322" s="52" t="s">
        <v>21</v>
      </c>
      <c r="J322" s="52" t="s">
        <v>21</v>
      </c>
      <c r="K322" s="52" t="str">
        <f t="shared" si="18"/>
        <v>Mpox</v>
      </c>
      <c r="M322" s="55"/>
    </row>
    <row r="323">
      <c r="A323" s="29" t="str">
        <f>IFERROR(__xludf.DUMMYFUNCTION("""COMPUTED_VALUE"""),"experimental specimen role type international menu")</f>
        <v>experimental specimen role type international menu</v>
      </c>
      <c r="B323" s="50" t="str">
        <f>IFERROR(__xludf.DUMMYFUNCTION("""COMPUTED_VALUE"""),"                    ")</f>
        <v>                    </v>
      </c>
      <c r="C323" s="29"/>
      <c r="D323" s="29"/>
      <c r="E323" s="29"/>
      <c r="F323" s="29"/>
      <c r="G323" s="29"/>
      <c r="H323" s="52"/>
      <c r="I323" s="52"/>
      <c r="J323" s="52"/>
      <c r="K323" s="53" t="s">
        <v>31</v>
      </c>
      <c r="L323" s="29" t="str">
        <f>LEFT(A323, LEN(A323) - 5)
</f>
        <v>experimental specimen role type international</v>
      </c>
      <c r="M323" s="58" t="s">
        <v>32</v>
      </c>
    </row>
    <row r="324">
      <c r="A324" s="29"/>
      <c r="B324" s="50" t="str">
        <f>IFERROR(__xludf.DUMMYFUNCTION("""COMPUTED_VALUE"""),"Positive experimental control [GENEPIO:0101018]                    ")</f>
        <v>Positive experimental control [GENEPIO:0101018]                    </v>
      </c>
      <c r="C324" s="29" t="str">
        <f>IFERROR(__xludf.DUMMYFUNCTION("""COMPUTED_VALUE"""),"GENEPIO:0101018")</f>
        <v>GENEPIO:0101018</v>
      </c>
      <c r="D324"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324" s="29"/>
      <c r="F324" s="29"/>
      <c r="G324" s="29"/>
      <c r="H324" s="54" t="s">
        <v>21</v>
      </c>
      <c r="I324" s="54" t="s">
        <v>21</v>
      </c>
      <c r="J324" s="54" t="s">
        <v>21</v>
      </c>
      <c r="K324" s="52" t="str">
        <f t="shared" ref="K324:K327" si="19">K323</f>
        <v>International</v>
      </c>
    </row>
    <row r="325">
      <c r="A325" s="29"/>
      <c r="B325" s="50" t="str">
        <f>IFERROR(__xludf.DUMMYFUNCTION("""COMPUTED_VALUE"""),"Negative experimental control [GENEPIO:0101019]                    ")</f>
        <v>Negative experimental control [GENEPIO:0101019]                    </v>
      </c>
      <c r="C325" s="29" t="str">
        <f>IFERROR(__xludf.DUMMYFUNCTION("""COMPUTED_VALUE"""),"GENEPIO:0101019")</f>
        <v>GENEPIO:0101019</v>
      </c>
      <c r="D325"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5" s="29"/>
      <c r="F325" s="29"/>
      <c r="G325" s="29"/>
      <c r="H325" s="54" t="s">
        <v>21</v>
      </c>
      <c r="I325" s="54" t="s">
        <v>21</v>
      </c>
      <c r="J325" s="54" t="s">
        <v>21</v>
      </c>
      <c r="K325" s="52" t="str">
        <f t="shared" si="19"/>
        <v>International</v>
      </c>
      <c r="M325" s="56"/>
    </row>
    <row r="326">
      <c r="A326" s="29"/>
      <c r="B326" s="50" t="str">
        <f>IFERROR(__xludf.DUMMYFUNCTION("""COMPUTED_VALUE"""),"Technical replicate [EFO:0002090]                    ")</f>
        <v>Technical replicate [EFO:0002090]                    </v>
      </c>
      <c r="C326" s="29" t="str">
        <f>IFERROR(__xludf.DUMMYFUNCTION("""COMPUTED_VALUE"""),"EFO:0002090")</f>
        <v>EFO:0002090</v>
      </c>
      <c r="D326"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6" s="29"/>
      <c r="F326" s="29"/>
      <c r="G326" s="29"/>
      <c r="H326" s="54" t="s">
        <v>21</v>
      </c>
      <c r="I326" s="54" t="s">
        <v>21</v>
      </c>
      <c r="J326" s="54" t="s">
        <v>21</v>
      </c>
      <c r="K326" s="52" t="str">
        <f t="shared" si="19"/>
        <v>International</v>
      </c>
      <c r="M326" s="55"/>
    </row>
    <row r="327">
      <c r="A327" s="29"/>
      <c r="B327" s="50" t="str">
        <f>IFERROR(__xludf.DUMMYFUNCTION("""COMPUTED_VALUE"""),"Biological replicate [EFO:0002091]                    ")</f>
        <v>Biological replicate [EFO:0002091]                    </v>
      </c>
      <c r="C327" s="29" t="str">
        <f>IFERROR(__xludf.DUMMYFUNCTION("""COMPUTED_VALUE"""),"EFO:0002091")</f>
        <v>EFO:0002091</v>
      </c>
      <c r="D327"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7" s="29"/>
      <c r="F327" s="29"/>
      <c r="G327" s="29"/>
      <c r="H327" s="54" t="s">
        <v>21</v>
      </c>
      <c r="I327" s="54" t="s">
        <v>21</v>
      </c>
      <c r="J327" s="54" t="s">
        <v>21</v>
      </c>
      <c r="K327" s="52" t="str">
        <f t="shared" si="19"/>
        <v>International</v>
      </c>
      <c r="M327" s="55"/>
    </row>
    <row r="328">
      <c r="A328" s="53" t="str">
        <f>IFERROR(__xludf.DUMMYFUNCTION("""COMPUTED_VALUE"""),"lineage/clade name international menu")</f>
        <v>lineage/clade name international menu</v>
      </c>
      <c r="B328" s="50" t="str">
        <f>IFERROR(__xludf.DUMMYFUNCTION("""COMPUTED_VALUE"""),"                    ")</f>
        <v>                    </v>
      </c>
      <c r="C328" s="53"/>
      <c r="D328" s="29"/>
      <c r="E328" s="53"/>
      <c r="F328" s="53"/>
      <c r="G328" s="53"/>
      <c r="H328" s="54"/>
      <c r="I328" s="54"/>
      <c r="J328" s="54"/>
      <c r="K328" s="53" t="s">
        <v>31</v>
      </c>
      <c r="L328" s="29" t="str">
        <f>LEFT(A328, LEN(A328) - 5)
</f>
        <v>lineage/clade name international</v>
      </c>
      <c r="M328" s="58" t="s">
        <v>32</v>
      </c>
    </row>
    <row r="329">
      <c r="A329" s="53"/>
      <c r="B329" s="50" t="str">
        <f>IFERROR(__xludf.DUMMYFUNCTION("""COMPUTED_VALUE"""),"Mpox virus clade I [GENEPIO:0102029]                    ")</f>
        <v>Mpox virus clade I [GENEPIO:0102029]                    </v>
      </c>
      <c r="C329" s="59" t="str">
        <f>IFERROR(__xludf.DUMMYFUNCTION("""COMPUTED_VALUE"""),"GENEPIO:0102029")</f>
        <v>GENEPIO:0102029</v>
      </c>
      <c r="D329" s="29" t="str">
        <f>IFERROR(__xludf.DUMMYFUNCTION("""COMPUTED_VALUE"""),"An Mpox virus clade with at least 99% similarity to the West African/USA-derived Mpox strain.")</f>
        <v>An Mpox virus clade with at least 99% similarity to the West African/USA-derived Mpox strain.</v>
      </c>
      <c r="H329" s="30" t="s">
        <v>19</v>
      </c>
      <c r="I329" s="30" t="s">
        <v>19</v>
      </c>
      <c r="J329" s="30" t="s">
        <v>19</v>
      </c>
      <c r="K329" s="52" t="str">
        <f t="shared" ref="K329:K334" si="20">K328</f>
        <v>International</v>
      </c>
    </row>
    <row r="330">
      <c r="A330" s="29"/>
      <c r="B330" s="50" t="str">
        <f>IFERROR(__xludf.DUMMYFUNCTION("""COMPUTED_VALUE"""),"     Mpox virus clade Ia [GENEPIO:0102030]               ")</f>
        <v>     Mpox virus clade Ia [GENEPIO:0102030]               </v>
      </c>
      <c r="C330" s="33" t="str">
        <f>IFERROR(__xludf.DUMMYFUNCTION("""COMPUTED_VALUE"""),"GENEPIO:0102030")</f>
        <v>GENEPIO:0102030</v>
      </c>
      <c r="D330" s="29" t="str">
        <f>IFERROR(__xludf.DUMMYFUNCTION("""COMPUTED_VALUE"""),"An Mpox virus that clusters in phylogenetic trees within the Ia clade.")</f>
        <v>An Mpox virus that clusters in phylogenetic trees within the Ia clade.</v>
      </c>
      <c r="E330" s="29"/>
      <c r="F330" s="29"/>
      <c r="G330" s="29"/>
      <c r="H330" s="30" t="s">
        <v>19</v>
      </c>
      <c r="I330" s="30" t="s">
        <v>19</v>
      </c>
      <c r="J330" s="30" t="s">
        <v>19</v>
      </c>
      <c r="K330" s="52" t="str">
        <f t="shared" si="20"/>
        <v>International</v>
      </c>
      <c r="M330" s="56"/>
    </row>
    <row r="331">
      <c r="A331" s="29"/>
      <c r="B331" s="50" t="str">
        <f>IFERROR(__xludf.DUMMYFUNCTION("""COMPUTED_VALUE"""),"     Mpox virus clade Ib [GENEPIO:0102031]               ")</f>
        <v>     Mpox virus clade Ib [GENEPIO:0102031]               </v>
      </c>
      <c r="C331" s="33" t="str">
        <f>IFERROR(__xludf.DUMMYFUNCTION("""COMPUTED_VALUE"""),"GENEPIO:0102031")</f>
        <v>GENEPIO:0102031</v>
      </c>
      <c r="D331" s="29" t="str">
        <f>IFERROR(__xludf.DUMMYFUNCTION("""COMPUTED_VALUE"""),"An Mpox virus that clusters in phylogenetic trees within the Ib clade.")</f>
        <v>An Mpox virus that clusters in phylogenetic trees within the Ib clade.</v>
      </c>
      <c r="E331" s="29"/>
      <c r="F331" s="29"/>
      <c r="G331" s="29"/>
      <c r="H331" s="30" t="s">
        <v>19</v>
      </c>
      <c r="I331" s="30" t="s">
        <v>19</v>
      </c>
      <c r="J331" s="30" t="s">
        <v>19</v>
      </c>
      <c r="K331" s="52" t="str">
        <f t="shared" si="20"/>
        <v>International</v>
      </c>
    </row>
    <row r="332">
      <c r="A332" s="53"/>
      <c r="B332" s="50" t="str">
        <f>IFERROR(__xludf.DUMMYFUNCTION("""COMPUTED_VALUE"""),"Mpox virus clade II [GENEPIO:0102032]                    ")</f>
        <v>Mpox virus clade II [GENEPIO:0102032]                    </v>
      </c>
      <c r="C332" s="59" t="str">
        <f>IFERROR(__xludf.DUMMYFUNCTION("""COMPUTED_VALUE"""),"GENEPIO:0102032")</f>
        <v>GENEPIO:0102032</v>
      </c>
      <c r="D332" s="29" t="str">
        <f>IFERROR(__xludf.DUMMYFUNCTION("""COMPUTED_VALUE"""),"An Mpox virus clade with at least 99% similarity to the Congo Basin-derived Mpox strain.")</f>
        <v>An Mpox virus clade with at least 99% similarity to the Congo Basin-derived Mpox strain.</v>
      </c>
      <c r="H332" s="30" t="s">
        <v>19</v>
      </c>
      <c r="I332" s="30" t="s">
        <v>19</v>
      </c>
      <c r="J332" s="30" t="s">
        <v>19</v>
      </c>
      <c r="K332" s="52" t="str">
        <f t="shared" si="20"/>
        <v>International</v>
      </c>
      <c r="M332" s="56"/>
    </row>
    <row r="333">
      <c r="A333" s="53"/>
      <c r="B333" s="50" t="str">
        <f>IFERROR(__xludf.DUMMYFUNCTION("""COMPUTED_VALUE"""),"     Mpox virus clade IIa [GENEPIO:0102033]               ")</f>
        <v>     Mpox virus clade IIa [GENEPIO:0102033]               </v>
      </c>
      <c r="C333" s="59" t="str">
        <f>IFERROR(__xludf.DUMMYFUNCTION("""COMPUTED_VALUE"""),"GENEPIO:0102033")</f>
        <v>GENEPIO:0102033</v>
      </c>
      <c r="D333" s="29" t="str">
        <f>IFERROR(__xludf.DUMMYFUNCTION("""COMPUTED_VALUE"""),"An Mpox virus that clusters in phylogenetic trees within the IIa clade.")</f>
        <v>An Mpox virus that clusters in phylogenetic trees within the IIa clade.</v>
      </c>
      <c r="H333" s="30" t="s">
        <v>19</v>
      </c>
      <c r="I333" s="30" t="s">
        <v>19</v>
      </c>
      <c r="J333" s="30" t="s">
        <v>19</v>
      </c>
      <c r="K333" s="52" t="str">
        <f t="shared" si="20"/>
        <v>International</v>
      </c>
      <c r="M333" s="55"/>
    </row>
    <row r="334">
      <c r="A334" s="53"/>
      <c r="B334" s="50" t="str">
        <f>IFERROR(__xludf.DUMMYFUNCTION("""COMPUTED_VALUE"""),"     Mpox virus clade IIb [GENEPIO:0102034]               ")</f>
        <v>     Mpox virus clade IIb [GENEPIO:0102034]               </v>
      </c>
      <c r="C334" s="59" t="str">
        <f>IFERROR(__xludf.DUMMYFUNCTION("""COMPUTED_VALUE"""),"GENEPIO:0102034")</f>
        <v>GENEPIO:0102034</v>
      </c>
      <c r="D334" s="29" t="str">
        <f>IFERROR(__xludf.DUMMYFUNCTION("""COMPUTED_VALUE"""),"An Mpox virus that clusters in phylogenetic trees within the IIb clade.")</f>
        <v>An Mpox virus that clusters in phylogenetic trees within the IIb clade.</v>
      </c>
      <c r="H334" s="30" t="s">
        <v>19</v>
      </c>
      <c r="I334" s="30" t="s">
        <v>19</v>
      </c>
      <c r="J334" s="30" t="s">
        <v>19</v>
      </c>
      <c r="K334" s="52" t="str">
        <f t="shared" si="20"/>
        <v>International</v>
      </c>
      <c r="M334" s="55"/>
    </row>
    <row r="335">
      <c r="A335" s="53"/>
      <c r="B335" s="50" t="str">
        <f>IFERROR(__xludf.DUMMYFUNCTION("""COMPUTED_VALUE"""),"          Mpox virus lineage B.1          ")</f>
        <v>          Mpox virus lineage B.1          </v>
      </c>
      <c r="C335" s="53"/>
      <c r="D335" s="29"/>
      <c r="H335" s="52"/>
      <c r="I335" s="52"/>
      <c r="J335" s="52"/>
      <c r="K335" s="53" t="s">
        <v>29</v>
      </c>
      <c r="L335" s="53" t="str">
        <f>LEFT(A335, LEN(A335) - 5)
</f>
        <v>#VALUE!</v>
      </c>
      <c r="M335" s="60" t="s">
        <v>29</v>
      </c>
    </row>
    <row r="336">
      <c r="A336" s="53"/>
      <c r="B336" s="50" t="str">
        <f>IFERROR(__xludf.DUMMYFUNCTION("""COMPUTED_VALUE"""),"          Mpox virus lineage A          ")</f>
        <v>          Mpox virus lineage A          </v>
      </c>
      <c r="C336" s="53"/>
      <c r="D336" s="29"/>
      <c r="H336" s="52" t="s">
        <v>19</v>
      </c>
      <c r="I336" s="52" t="s">
        <v>19</v>
      </c>
      <c r="J336" s="52" t="s">
        <v>19</v>
      </c>
      <c r="K336" s="52" t="str">
        <f>K335</f>
        <v>Mpox</v>
      </c>
      <c r="M336" s="55"/>
    </row>
    <row r="337">
      <c r="A337" s="53" t="str">
        <f>IFERROR(__xludf.DUMMYFUNCTION("""COMPUTED_VALUE"""),"host (common name) menu")</f>
        <v>host (common name) menu</v>
      </c>
      <c r="B337" s="50" t="str">
        <f>IFERROR(__xludf.DUMMYFUNCTION("""COMPUTED_VALUE"""),"                    ")</f>
        <v>                    </v>
      </c>
      <c r="C337" s="53"/>
      <c r="D337" s="29" t="str">
        <f>IFERROR(__xludf.DUMMYFUNCTION("""COMPUTED_VALUE"""),"")</f>
        <v/>
      </c>
      <c r="E337" s="53"/>
      <c r="F337" s="53"/>
      <c r="G337" s="53"/>
      <c r="H337" s="52"/>
      <c r="I337" s="52"/>
      <c r="J337" s="52"/>
      <c r="K337" s="53" t="s">
        <v>31</v>
      </c>
      <c r="L337" s="29" t="str">
        <f>LEFT(A337, LEN(A337) - 5)
</f>
        <v>host (common name)</v>
      </c>
      <c r="M337" s="58" t="s">
        <v>32</v>
      </c>
    </row>
    <row r="338">
      <c r="A338" s="29"/>
      <c r="B338" s="50" t="str">
        <f>IFERROR(__xludf.DUMMYFUNCTION("""COMPUTED_VALUE"""),"Human                    ")</f>
        <v>Human                    </v>
      </c>
      <c r="C338" s="29" t="str">
        <f>IFERROR(__xludf.DUMMYFUNCTION("""COMPUTED_VALUE"""),"NCBITaxon:9606")</f>
        <v>NCBITaxon:9606</v>
      </c>
      <c r="D338" s="29" t="str">
        <f>IFERROR(__xludf.DUMMYFUNCTION("""COMPUTED_VALUE"""),"A bipedal primate mammal of the species Homo sapiens.")</f>
        <v>A bipedal primate mammal of the species Homo sapiens.</v>
      </c>
      <c r="E338" s="29"/>
      <c r="F338" s="29"/>
      <c r="G338" s="29"/>
      <c r="H338" s="54" t="s">
        <v>19</v>
      </c>
      <c r="I338" s="54" t="s">
        <v>19</v>
      </c>
      <c r="J338" s="54" t="s">
        <v>19</v>
      </c>
      <c r="K338" s="52" t="str">
        <f t="shared" ref="K338:K343" si="21">K337</f>
        <v>International</v>
      </c>
    </row>
    <row r="339">
      <c r="A339" s="29" t="str">
        <f>IFERROR(__xludf.DUMMYFUNCTION("""COMPUTED_VALUE"""),"host (common name) international menu")</f>
        <v>host (common name) international menu</v>
      </c>
      <c r="B339" s="50" t="str">
        <f>IFERROR(__xludf.DUMMYFUNCTION("""COMPUTED_VALUE"""),"                    ")</f>
        <v>                    </v>
      </c>
      <c r="C339" s="29"/>
      <c r="D339" s="29" t="str">
        <f>IFERROR(__xludf.DUMMYFUNCTION("""COMPUTED_VALUE"""),"")</f>
        <v/>
      </c>
      <c r="E339" s="29"/>
      <c r="F339" s="29"/>
      <c r="G339" s="29"/>
      <c r="H339" s="54" t="s">
        <v>19</v>
      </c>
      <c r="I339" s="54" t="s">
        <v>19</v>
      </c>
      <c r="J339" s="54" t="s">
        <v>19</v>
      </c>
      <c r="K339" s="52" t="str">
        <f t="shared" si="21"/>
        <v>International</v>
      </c>
      <c r="M339" s="56"/>
    </row>
    <row r="340">
      <c r="A340" s="29"/>
      <c r="B340" s="50" t="str">
        <f>IFERROR(__xludf.DUMMYFUNCTION("""COMPUTED_VALUE"""),"Human [NCBITaxon:9606]                    ")</f>
        <v>Human [NCBITaxon:9606]                    </v>
      </c>
      <c r="C340" s="29" t="str">
        <f>IFERROR(__xludf.DUMMYFUNCTION("""COMPUTED_VALUE"""),"NCBITaxon:9606")</f>
        <v>NCBITaxon:9606</v>
      </c>
      <c r="D340" s="29" t="str">
        <f>IFERROR(__xludf.DUMMYFUNCTION("""COMPUTED_VALUE"""),"A bipedal primate mammal of the species Homo sapiens.")</f>
        <v>A bipedal primate mammal of the species Homo sapiens.</v>
      </c>
      <c r="E340" s="29"/>
      <c r="F340" s="29"/>
      <c r="G340" s="29"/>
      <c r="H340" s="54" t="s">
        <v>19</v>
      </c>
      <c r="I340" s="54" t="s">
        <v>19</v>
      </c>
      <c r="J340" s="54" t="s">
        <v>19</v>
      </c>
      <c r="K340" s="52" t="str">
        <f t="shared" si="21"/>
        <v>International</v>
      </c>
    </row>
    <row r="341">
      <c r="A341" s="29"/>
      <c r="B341" s="50" t="str">
        <f>IFERROR(__xludf.DUMMYFUNCTION("""COMPUTED_VALUE"""),"Rodent [NCBITaxon:9989]                    ")</f>
        <v>Rodent [NCBITaxon:9989]                    </v>
      </c>
      <c r="C341" s="29" t="str">
        <f>IFERROR(__xludf.DUMMYFUNCTION("""COMPUTED_VALUE"""),"NCBITaxon:9989")</f>
        <v>NCBITaxon:9989</v>
      </c>
      <c r="D341"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E341" s="29"/>
      <c r="F341" s="29"/>
      <c r="G341" s="29"/>
      <c r="H341" s="54" t="s">
        <v>19</v>
      </c>
      <c r="I341" s="54" t="s">
        <v>19</v>
      </c>
      <c r="J341" s="54" t="s">
        <v>19</v>
      </c>
      <c r="K341" s="52" t="str">
        <f t="shared" si="21"/>
        <v>International</v>
      </c>
      <c r="M341" s="56"/>
    </row>
    <row r="342">
      <c r="A342" s="29"/>
      <c r="B342" s="50" t="str">
        <f>IFERROR(__xludf.DUMMYFUNCTION("""COMPUTED_VALUE"""),"     Mouse [NCBITaxon:10090]               ")</f>
        <v>     Mouse [NCBITaxon:10090]               </v>
      </c>
      <c r="C342" s="29" t="str">
        <f>IFERROR(__xludf.DUMMYFUNCTION("""COMPUTED_VALUE"""),"NCBITaxon:10090")</f>
        <v>NCBITaxon:10090</v>
      </c>
      <c r="D342"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E342" s="29"/>
      <c r="F342" s="29"/>
      <c r="G342" s="29"/>
      <c r="H342" s="54" t="s">
        <v>19</v>
      </c>
      <c r="I342" s="54" t="s">
        <v>19</v>
      </c>
      <c r="J342" s="54" t="s">
        <v>19</v>
      </c>
      <c r="K342" s="52" t="str">
        <f t="shared" si="21"/>
        <v>International</v>
      </c>
    </row>
    <row r="343">
      <c r="A343" s="29"/>
      <c r="B343" s="50" t="str">
        <f>IFERROR(__xludf.DUMMYFUNCTION("""COMPUTED_VALUE"""),"     Prairie Dog [NCBITaxon:45478]               ")</f>
        <v>     Prairie Dog [NCBITaxon:45478]               </v>
      </c>
      <c r="C343" s="29" t="str">
        <f>IFERROR(__xludf.DUMMYFUNCTION("""COMPUTED_VALUE"""),"NCBITaxon:45478")</f>
        <v>NCBITaxon:45478</v>
      </c>
      <c r="D343" s="29" t="str">
        <f>IFERROR(__xludf.DUMMYFUNCTION("""COMPUTED_VALUE"""),"A herbivorous burrowing ground squirrels native to the grasslands of North America.")</f>
        <v>A herbivorous burrowing ground squirrels native to the grasslands of North America.</v>
      </c>
      <c r="E343" s="29"/>
      <c r="F343" s="29"/>
      <c r="G343" s="29"/>
      <c r="H343" s="54" t="s">
        <v>19</v>
      </c>
      <c r="I343" s="54" t="s">
        <v>19</v>
      </c>
      <c r="J343" s="54" t="s">
        <v>19</v>
      </c>
      <c r="K343" s="52" t="str">
        <f t="shared" si="21"/>
        <v>International</v>
      </c>
      <c r="M343" s="56"/>
    </row>
    <row r="344">
      <c r="A344" s="53"/>
      <c r="B344" s="50" t="str">
        <f>IFERROR(__xludf.DUMMYFUNCTION("""COMPUTED_VALUE"""),"     Rat [NCBITaxon:10116]               ")</f>
        <v>     Rat [NCBITaxon:10116]               </v>
      </c>
      <c r="C344" s="53" t="str">
        <f>IFERROR(__xludf.DUMMYFUNCTION("""COMPUTED_VALUE"""),"NCBITaxon:10116")</f>
        <v>NCBITaxon:10116</v>
      </c>
      <c r="D344" s="29" t="str">
        <f>IFERROR(__xludf.DUMMYFUNCTION("""COMPUTED_VALUE"""),"A medium sized rodent that typically is long tailed.")</f>
        <v>A medium sized rodent that typically is long tailed.</v>
      </c>
      <c r="K344" s="53" t="s">
        <v>29</v>
      </c>
      <c r="L344" s="53" t="str">
        <f>LEFT(A344, LEN(A344) - 5)
</f>
        <v>#VALUE!</v>
      </c>
      <c r="M344" s="60" t="s">
        <v>29</v>
      </c>
    </row>
    <row r="345">
      <c r="A345" s="53"/>
      <c r="B345" s="50" t="str">
        <f>IFERROR(__xludf.DUMMYFUNCTION("""COMPUTED_VALUE"""),"     Squirrel [FOODON:03411389]               ")</f>
        <v>     Squirrel [FOODON:03411389]               </v>
      </c>
      <c r="C345" s="53" t="str">
        <f>IFERROR(__xludf.DUMMYFUNCTION("""COMPUTED_VALUE"""),"FOODON:03411389")</f>
        <v>FOODON:03411389</v>
      </c>
      <c r="D345" s="29" t="str">
        <f>IFERROR(__xludf.DUMMYFUNCTION("""COMPUTED_VALUE"""),"A small to medium-sized rodent belonging to the family Sciuridae, characterized by a bushy tail, sharp claws, and strong hind legs, commonly found in trees, but some species live on the ground")</f>
        <v>A small to medium-sized rodent belonging to the family Sciuridae, characterized by a bushy tail, sharp claws, and strong hind legs, commonly found in trees, but some species live on the ground</v>
      </c>
      <c r="H345" s="52" t="s">
        <v>19</v>
      </c>
      <c r="I345" s="52" t="s">
        <v>19</v>
      </c>
      <c r="J345" s="52" t="s">
        <v>19</v>
      </c>
      <c r="K345" s="52" t="str">
        <f>K344</f>
        <v>Mpox</v>
      </c>
      <c r="M345" s="55"/>
    </row>
    <row r="346">
      <c r="A346" s="53" t="str">
        <f>IFERROR(__xludf.DUMMYFUNCTION("""COMPUTED_VALUE"""),"host (scientific name) menu")</f>
        <v>host (scientific name) menu</v>
      </c>
      <c r="B346" s="50" t="str">
        <f>IFERROR(__xludf.DUMMYFUNCTION("""COMPUTED_VALUE"""),"                    ")</f>
        <v>                    </v>
      </c>
      <c r="C346" s="53"/>
      <c r="D346" s="29" t="str">
        <f>IFERROR(__xludf.DUMMYFUNCTION("""COMPUTED_VALUE"""),"")</f>
        <v/>
      </c>
      <c r="E346" s="53"/>
      <c r="F346" s="53"/>
      <c r="G346" s="53"/>
      <c r="H346" s="52"/>
      <c r="I346" s="52"/>
      <c r="J346" s="52"/>
      <c r="K346" s="53" t="s">
        <v>31</v>
      </c>
      <c r="L346" s="29" t="str">
        <f>LEFT(A346, LEN(A346) - 5)
</f>
        <v>host (scientific name)</v>
      </c>
      <c r="M346" s="58" t="s">
        <v>32</v>
      </c>
    </row>
    <row r="347">
      <c r="A347" s="53"/>
      <c r="B347" s="50" t="str">
        <f>IFERROR(__xludf.DUMMYFUNCTION("""COMPUTED_VALUE"""),"Homo sapiens                    ")</f>
        <v>Homo sapiens                    </v>
      </c>
      <c r="C347" s="53" t="str">
        <f>IFERROR(__xludf.DUMMYFUNCTION("""COMPUTED_VALUE"""),"NCBITaxon:9606")</f>
        <v>NCBITaxon:9606</v>
      </c>
      <c r="D347" s="29" t="str">
        <f>IFERROR(__xludf.DUMMYFUNCTION("""COMPUTED_VALUE"""),"A type of primate characterized by bipedalism and large, complex brain.")</f>
        <v>A type of primate characterized by bipedalism and large, complex brain.</v>
      </c>
      <c r="H347" s="52" t="s">
        <v>19</v>
      </c>
      <c r="I347" s="52" t="s">
        <v>19</v>
      </c>
      <c r="J347" s="52" t="s">
        <v>19</v>
      </c>
      <c r="K347" s="52" t="str">
        <f>K346</f>
        <v>International</v>
      </c>
      <c r="M347" s="55"/>
    </row>
    <row r="348">
      <c r="A348" s="53" t="str">
        <f>IFERROR(__xludf.DUMMYFUNCTION("""COMPUTED_VALUE"""),"host (scientific name) international menu")</f>
        <v>host (scientific name) international menu</v>
      </c>
      <c r="B348" s="50" t="str">
        <f>IFERROR(__xludf.DUMMYFUNCTION("""COMPUTED_VALUE"""),"                    ")</f>
        <v>                    </v>
      </c>
      <c r="C348" s="53"/>
      <c r="D348" s="29" t="str">
        <f>IFERROR(__xludf.DUMMYFUNCTION("""COMPUTED_VALUE"""),"")</f>
        <v/>
      </c>
      <c r="E348" s="53"/>
      <c r="F348" s="53"/>
      <c r="G348" s="53"/>
      <c r="H348" s="52"/>
      <c r="I348" s="52"/>
      <c r="J348" s="52"/>
      <c r="K348" s="53" t="s">
        <v>29</v>
      </c>
      <c r="L348" s="53" t="str">
        <f>LEFT(A348, LEN(A348) - 5)
</f>
        <v>host (scientific name) international</v>
      </c>
      <c r="M348" s="53" t="str">
        <f>VLOOKUP(L348,'Field Reference Guide'!$B$6:$N$220,13,false)</f>
        <v>#N/A</v>
      </c>
    </row>
    <row r="349">
      <c r="A349" s="53"/>
      <c r="B349" s="50" t="str">
        <f>IFERROR(__xludf.DUMMYFUNCTION("""COMPUTED_VALUE"""),"Homo sapiens [NCBITaxon:9606]                    ")</f>
        <v>Homo sapiens [NCBITaxon:9606]                    </v>
      </c>
      <c r="C349" s="53" t="str">
        <f>IFERROR(__xludf.DUMMYFUNCTION("""COMPUTED_VALUE"""),"NCBITaxon:9606")</f>
        <v>NCBITaxon:9606</v>
      </c>
      <c r="D349" s="29" t="str">
        <f>IFERROR(__xludf.DUMMYFUNCTION("""COMPUTED_VALUE"""),"A bipedal primate mammal of the species Homo sapiens.")</f>
        <v>A bipedal primate mammal of the species Homo sapiens.</v>
      </c>
      <c r="H349" s="52" t="s">
        <v>19</v>
      </c>
      <c r="I349" s="52" t="s">
        <v>19</v>
      </c>
      <c r="J349" s="52" t="s">
        <v>19</v>
      </c>
      <c r="K349" s="52" t="str">
        <f t="shared" ref="K349:K353" si="22">K348</f>
        <v>Mpox</v>
      </c>
      <c r="M349" s="56"/>
    </row>
    <row r="350">
      <c r="A350" s="53" t="str">
        <f>IFERROR(__xludf.DUMMYFUNCTION("""COMPUTED_VALUE"""),"host health state menu")</f>
        <v>host health state menu</v>
      </c>
      <c r="B350" s="50" t="str">
        <f>IFERROR(__xludf.DUMMYFUNCTION("""COMPUTED_VALUE"""),"                    ")</f>
        <v>                    </v>
      </c>
      <c r="C350" s="53"/>
      <c r="D350" s="29" t="str">
        <f>IFERROR(__xludf.DUMMYFUNCTION("""COMPUTED_VALUE"""),"")</f>
        <v/>
      </c>
      <c r="E350" s="53"/>
      <c r="F350" s="53"/>
      <c r="G350" s="53"/>
      <c r="H350" s="52" t="s">
        <v>19</v>
      </c>
      <c r="I350" s="52" t="s">
        <v>19</v>
      </c>
      <c r="J350" s="52" t="s">
        <v>19</v>
      </c>
      <c r="K350" s="52" t="str">
        <f t="shared" si="22"/>
        <v>Mpox</v>
      </c>
      <c r="M350" s="55"/>
    </row>
    <row r="351">
      <c r="A351" s="29"/>
      <c r="B351" s="50" t="str">
        <f>IFERROR(__xludf.DUMMYFUNCTION("""COMPUTED_VALUE"""),"Asymptomatic                    ")</f>
        <v>Asymptomatic                    </v>
      </c>
      <c r="C351" s="29" t="str">
        <f>IFERROR(__xludf.DUMMYFUNCTION("""COMPUTED_VALUE"""),"NCIT:C3833")</f>
        <v>NCIT:C3833</v>
      </c>
      <c r="D351" s="29" t="str">
        <f>IFERROR(__xludf.DUMMYFUNCTION("""COMPUTED_VALUE"""),"Without clinical signs or indications that raise the possibility of a particular disorder or dysfunction.")</f>
        <v>Without clinical signs or indications that raise the possibility of a particular disorder or dysfunction.</v>
      </c>
      <c r="E351" s="29"/>
      <c r="F351" s="29"/>
      <c r="G351" s="29"/>
      <c r="H351" s="54" t="s">
        <v>19</v>
      </c>
      <c r="I351" s="54" t="s">
        <v>19</v>
      </c>
      <c r="J351" s="54" t="s">
        <v>19</v>
      </c>
      <c r="K351" s="52" t="str">
        <f t="shared" si="22"/>
        <v>Mpox</v>
      </c>
      <c r="M351" s="55"/>
    </row>
    <row r="352">
      <c r="A352" s="29"/>
      <c r="B352" s="50" t="str">
        <f>IFERROR(__xludf.DUMMYFUNCTION("""COMPUTED_VALUE"""),"Deceased                    ")</f>
        <v>Deceased                    </v>
      </c>
      <c r="C352" s="29" t="str">
        <f>IFERROR(__xludf.DUMMYFUNCTION("""COMPUTED_VALUE"""),"NCIT:C28554")</f>
        <v>NCIT:C28554</v>
      </c>
      <c r="D352" s="29" t="str">
        <f>IFERROR(__xludf.DUMMYFUNCTION("""COMPUTED_VALUE"""),"The cessation of life.")</f>
        <v>The cessation of life.</v>
      </c>
      <c r="E352" s="29"/>
      <c r="F352" s="29"/>
      <c r="G352" s="29"/>
      <c r="H352" s="54" t="s">
        <v>19</v>
      </c>
      <c r="I352" s="54" t="s">
        <v>19</v>
      </c>
      <c r="J352" s="54" t="s">
        <v>19</v>
      </c>
      <c r="K352" s="52" t="str">
        <f t="shared" si="22"/>
        <v>Mpox</v>
      </c>
      <c r="M352" s="55"/>
    </row>
    <row r="353">
      <c r="A353" s="29"/>
      <c r="B353" s="50" t="str">
        <f>IFERROR(__xludf.DUMMYFUNCTION("""COMPUTED_VALUE"""),"Healthy                    ")</f>
        <v>Healthy                    </v>
      </c>
      <c r="C353" s="29" t="str">
        <f>IFERROR(__xludf.DUMMYFUNCTION("""COMPUTED_VALUE"""),"NCIT:C115935")</f>
        <v>NCIT:C115935</v>
      </c>
      <c r="D353" s="29" t="str">
        <f>IFERROR(__xludf.DUMMYFUNCTION("""COMPUTED_VALUE"""),"Having no significant health-related issues.")</f>
        <v>Having no significant health-related issues.</v>
      </c>
      <c r="E353" s="29"/>
      <c r="F353" s="29"/>
      <c r="G353" s="29"/>
      <c r="H353" s="54" t="s">
        <v>19</v>
      </c>
      <c r="I353" s="54" t="s">
        <v>19</v>
      </c>
      <c r="J353" s="54" t="s">
        <v>19</v>
      </c>
      <c r="K353" s="52" t="str">
        <f t="shared" si="22"/>
        <v>Mpox</v>
      </c>
      <c r="M353" s="55"/>
    </row>
    <row r="354">
      <c r="A354" s="29"/>
      <c r="B354" s="50" t="str">
        <f>IFERROR(__xludf.DUMMYFUNCTION("""COMPUTED_VALUE"""),"Recovered                    ")</f>
        <v>Recovered                    </v>
      </c>
      <c r="C354" s="29" t="str">
        <f>IFERROR(__xludf.DUMMYFUNCTION("""COMPUTED_VALUE"""),"NCIT:C49498")</f>
        <v>NCIT:C49498</v>
      </c>
      <c r="D354"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54" s="29"/>
      <c r="F354" s="29"/>
      <c r="G354" s="29"/>
      <c r="H354" s="54"/>
      <c r="I354" s="54"/>
      <c r="J354" s="54"/>
      <c r="K354" s="53" t="s">
        <v>31</v>
      </c>
      <c r="L354" s="29" t="str">
        <f>LEFT(A354, LEN(A354) - 5)
</f>
        <v>#VALUE!</v>
      </c>
      <c r="M354" s="58" t="s">
        <v>32</v>
      </c>
    </row>
    <row r="355">
      <c r="A355" s="29"/>
      <c r="B355" s="50" t="str">
        <f>IFERROR(__xludf.DUMMYFUNCTION("""COMPUTED_VALUE"""),"Symptomatic                    ")</f>
        <v>Symptomatic                    </v>
      </c>
      <c r="C355" s="29" t="str">
        <f>IFERROR(__xludf.DUMMYFUNCTION("""COMPUTED_VALUE"""),"NCIT:C25269")</f>
        <v>NCIT:C25269</v>
      </c>
      <c r="D355" s="29" t="str">
        <f>IFERROR(__xludf.DUMMYFUNCTION("""COMPUTED_VALUE"""),"Exhibiting the symptoms of a particular disease.")</f>
        <v>Exhibiting the symptoms of a particular disease.</v>
      </c>
      <c r="E355" s="29"/>
      <c r="F355" s="29"/>
      <c r="G355" s="29"/>
      <c r="H355" s="54" t="s">
        <v>19</v>
      </c>
      <c r="I355" s="54" t="s">
        <v>19</v>
      </c>
      <c r="J355" s="54" t="s">
        <v>19</v>
      </c>
      <c r="K355" s="52" t="str">
        <f t="shared" ref="K355:K359" si="23">K354</f>
        <v>International</v>
      </c>
      <c r="M355" s="56"/>
    </row>
    <row r="356">
      <c r="A356" s="29" t="str">
        <f>IFERROR(__xludf.DUMMYFUNCTION("""COMPUTED_VALUE"""),"host health state international menu")</f>
        <v>host health state international menu</v>
      </c>
      <c r="B356" s="50" t="str">
        <f>IFERROR(__xludf.DUMMYFUNCTION("""COMPUTED_VALUE"""),"                    ")</f>
        <v>                    </v>
      </c>
      <c r="C356" s="29"/>
      <c r="D356" s="29" t="str">
        <f>IFERROR(__xludf.DUMMYFUNCTION("""COMPUTED_VALUE"""),"")</f>
        <v/>
      </c>
      <c r="E356" s="29"/>
      <c r="F356" s="29"/>
      <c r="G356" s="29"/>
      <c r="H356" s="54" t="s">
        <v>19</v>
      </c>
      <c r="I356" s="54" t="s">
        <v>19</v>
      </c>
      <c r="J356" s="54" t="s">
        <v>19</v>
      </c>
      <c r="K356" s="52" t="str">
        <f t="shared" si="23"/>
        <v>International</v>
      </c>
      <c r="M356" s="55"/>
    </row>
    <row r="357">
      <c r="A357" s="29"/>
      <c r="B357" s="50" t="str">
        <f>IFERROR(__xludf.DUMMYFUNCTION("""COMPUTED_VALUE"""),"Asymptomatic [NCIT:C3833]                    ")</f>
        <v>Asymptomatic [NCIT:C3833]                    </v>
      </c>
      <c r="C357" s="29" t="str">
        <f>IFERROR(__xludf.DUMMYFUNCTION("""COMPUTED_VALUE"""),"NCIT:C3833")</f>
        <v>NCIT:C3833</v>
      </c>
      <c r="D357" s="29" t="str">
        <f>IFERROR(__xludf.DUMMYFUNCTION("""COMPUTED_VALUE"""),"Without clinical signs or indications that raise the possibility of a particular disorder or dysfunction.")</f>
        <v>Without clinical signs or indications that raise the possibility of a particular disorder or dysfunction.</v>
      </c>
      <c r="E357" s="29"/>
      <c r="F357" s="29"/>
      <c r="G357" s="29"/>
      <c r="H357" s="54" t="s">
        <v>19</v>
      </c>
      <c r="I357" s="54" t="s">
        <v>19</v>
      </c>
      <c r="J357" s="54" t="s">
        <v>19</v>
      </c>
      <c r="K357" s="52" t="str">
        <f t="shared" si="23"/>
        <v>International</v>
      </c>
      <c r="M357" s="55"/>
    </row>
    <row r="358">
      <c r="A358" s="53"/>
      <c r="B358" s="50" t="str">
        <f>IFERROR(__xludf.DUMMYFUNCTION("""COMPUTED_VALUE"""),"Deceased [NCIT:C28554]                    ")</f>
        <v>Deceased [NCIT:C28554]                    </v>
      </c>
      <c r="C358" s="53" t="str">
        <f>IFERROR(__xludf.DUMMYFUNCTION("""COMPUTED_VALUE"""),"NCIT:C28554")</f>
        <v>NCIT:C28554</v>
      </c>
      <c r="D358" s="29" t="str">
        <f>IFERROR(__xludf.DUMMYFUNCTION("""COMPUTED_VALUE"""),"The cessation of life.")</f>
        <v>The cessation of life.</v>
      </c>
      <c r="H358" s="54" t="s">
        <v>19</v>
      </c>
      <c r="I358" s="54" t="s">
        <v>19</v>
      </c>
      <c r="J358" s="54" t="s">
        <v>19</v>
      </c>
      <c r="K358" s="52" t="str">
        <f t="shared" si="23"/>
        <v>International</v>
      </c>
      <c r="M358" s="55"/>
    </row>
    <row r="359">
      <c r="A359" s="53"/>
      <c r="B359" s="50" t="str">
        <f>IFERROR(__xludf.DUMMYFUNCTION("""COMPUTED_VALUE"""),"Healthy [NCIT:C115935]                    ")</f>
        <v>Healthy [NCIT:C115935]                    </v>
      </c>
      <c r="C359" s="53" t="str">
        <f>IFERROR(__xludf.DUMMYFUNCTION("""COMPUTED_VALUE"""),"NCIT:C115935")</f>
        <v>NCIT:C115935</v>
      </c>
      <c r="D359" s="29" t="str">
        <f>IFERROR(__xludf.DUMMYFUNCTION("""COMPUTED_VALUE"""),"Having no significant health-related issues.")</f>
        <v>Having no significant health-related issues.</v>
      </c>
      <c r="H359" s="52" t="s">
        <v>19</v>
      </c>
      <c r="I359" s="52" t="s">
        <v>19</v>
      </c>
      <c r="J359" s="52" t="s">
        <v>19</v>
      </c>
      <c r="K359" s="52" t="str">
        <f t="shared" si="23"/>
        <v>International</v>
      </c>
      <c r="M359" s="55"/>
    </row>
    <row r="360">
      <c r="A360" s="53"/>
      <c r="B360" s="50" t="str">
        <f>IFERROR(__xludf.DUMMYFUNCTION("""COMPUTED_VALUE"""),"Recovered [NCIT:C49498]                    ")</f>
        <v>Recovered [NCIT:C49498]                    </v>
      </c>
      <c r="C360" s="53" t="str">
        <f>IFERROR(__xludf.DUMMYFUNCTION("""COMPUTED_VALUE"""),"NCIT:C49498")</f>
        <v>NCIT:C49498</v>
      </c>
      <c r="D360"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60" s="52"/>
      <c r="I360" s="52"/>
      <c r="J360" s="52"/>
      <c r="K360" s="53" t="s">
        <v>29</v>
      </c>
      <c r="L360" s="53" t="str">
        <f>LEFT(A360, LEN(A360) - 5)
</f>
        <v>#VALUE!</v>
      </c>
      <c r="M360" s="60" t="s">
        <v>29</v>
      </c>
    </row>
    <row r="361">
      <c r="A361" s="53"/>
      <c r="B361" s="50" t="str">
        <f>IFERROR(__xludf.DUMMYFUNCTION("""COMPUTED_VALUE"""),"Symptomatic [NCIT:C25269]                    ")</f>
        <v>Symptomatic [NCIT:C25269]                    </v>
      </c>
      <c r="C361" s="53" t="str">
        <f>IFERROR(__xludf.DUMMYFUNCTION("""COMPUTED_VALUE"""),"NCIT:C25269")</f>
        <v>NCIT:C25269</v>
      </c>
      <c r="D361" s="29" t="str">
        <f>IFERROR(__xludf.DUMMYFUNCTION("""COMPUTED_VALUE"""),"Exhibiting the symptoms of a particular disease.")</f>
        <v>Exhibiting the symptoms of a particular disease.</v>
      </c>
      <c r="H361" s="54" t="s">
        <v>19</v>
      </c>
      <c r="I361" s="54" t="s">
        <v>19</v>
      </c>
      <c r="J361" s="54" t="s">
        <v>19</v>
      </c>
      <c r="K361" s="52" t="str">
        <f t="shared" ref="K361:K366" si="24">K360</f>
        <v>Mpox</v>
      </c>
    </row>
    <row r="362">
      <c r="A362" s="53" t="str">
        <f>IFERROR(__xludf.DUMMYFUNCTION("""COMPUTED_VALUE"""),"host health status details menu")</f>
        <v>host health status details menu</v>
      </c>
      <c r="B362" s="50" t="str">
        <f>IFERROR(__xludf.DUMMYFUNCTION("""COMPUTED_VALUE"""),"                    ")</f>
        <v>                    </v>
      </c>
      <c r="C362" s="53"/>
      <c r="D362" s="29" t="str">
        <f>IFERROR(__xludf.DUMMYFUNCTION("""COMPUTED_VALUE"""),"")</f>
        <v/>
      </c>
      <c r="E362" s="53"/>
      <c r="F362" s="53"/>
      <c r="G362" s="53"/>
      <c r="H362" s="52" t="s">
        <v>19</v>
      </c>
      <c r="I362" s="52" t="s">
        <v>19</v>
      </c>
      <c r="J362" s="52" t="s">
        <v>19</v>
      </c>
      <c r="K362" s="52" t="str">
        <f t="shared" si="24"/>
        <v>Mpox</v>
      </c>
      <c r="M362" s="56"/>
    </row>
    <row r="363">
      <c r="A363" s="29"/>
      <c r="B363" s="50" t="str">
        <f>IFERROR(__xludf.DUMMYFUNCTION("""COMPUTED_VALUE"""),"Hospitalized                    ")</f>
        <v>Hospitalized                    </v>
      </c>
      <c r="C363" s="29" t="str">
        <f>IFERROR(__xludf.DUMMYFUNCTION("""COMPUTED_VALUE"""),"NCIT:C25179")</f>
        <v>NCIT:C25179</v>
      </c>
      <c r="D363" s="29" t="str">
        <f>IFERROR(__xludf.DUMMYFUNCTION("""COMPUTED_VALUE"""),"The condition of being treated as a patient in a hospital.")</f>
        <v>The condition of being treated as a patient in a hospital.</v>
      </c>
      <c r="E363" s="29"/>
      <c r="F363" s="29"/>
      <c r="G363" s="29"/>
      <c r="H363" s="54" t="s">
        <v>19</v>
      </c>
      <c r="I363" s="54" t="s">
        <v>19</v>
      </c>
      <c r="J363" s="54" t="s">
        <v>19</v>
      </c>
      <c r="K363" s="52" t="str">
        <f t="shared" si="24"/>
        <v>Mpox</v>
      </c>
      <c r="M363" s="55"/>
    </row>
    <row r="364">
      <c r="A364" s="29"/>
      <c r="B364" s="50" t="str">
        <f>IFERROR(__xludf.DUMMYFUNCTION("""COMPUTED_VALUE"""),"     Hospitalized (Non-ICU)               ")</f>
        <v>     Hospitalized (Non-ICU)               </v>
      </c>
      <c r="C364" s="29" t="str">
        <f>IFERROR(__xludf.DUMMYFUNCTION("""COMPUTED_VALUE"""),"GENEPIO:0100045")</f>
        <v>GENEPIO:0100045</v>
      </c>
      <c r="D364" s="29" t="str">
        <f>IFERROR(__xludf.DUMMYFUNCTION("""COMPUTED_VALUE"""),"The condition of being treated as a patient in a hospital without admission to an intensive care unit (ICU).")</f>
        <v>The condition of being treated as a patient in a hospital without admission to an intensive care unit (ICU).</v>
      </c>
      <c r="E364" s="29"/>
      <c r="F364" s="29"/>
      <c r="G364" s="29"/>
      <c r="H364" s="54" t="s">
        <v>19</v>
      </c>
      <c r="I364" s="54" t="s">
        <v>19</v>
      </c>
      <c r="J364" s="54" t="s">
        <v>19</v>
      </c>
      <c r="K364" s="52" t="str">
        <f t="shared" si="24"/>
        <v>Mpox</v>
      </c>
      <c r="M364" s="55"/>
    </row>
    <row r="365">
      <c r="A365" s="29"/>
      <c r="B365" s="50" t="str">
        <f>IFERROR(__xludf.DUMMYFUNCTION("""COMPUTED_VALUE"""),"     Hospitalized (ICU)               ")</f>
        <v>     Hospitalized (ICU)               </v>
      </c>
      <c r="C365" s="29" t="str">
        <f>IFERROR(__xludf.DUMMYFUNCTION("""COMPUTED_VALUE"""),"GENEPIO:0100046")</f>
        <v>GENEPIO:0100046</v>
      </c>
      <c r="D365" s="29" t="str">
        <f>IFERROR(__xludf.DUMMYFUNCTION("""COMPUTED_VALUE"""),"The condition of being treated as a patient in a hospital intensive care unit (ICU).")</f>
        <v>The condition of being treated as a patient in a hospital intensive care unit (ICU).</v>
      </c>
      <c r="E365" s="29"/>
      <c r="F365" s="29"/>
      <c r="G365" s="29"/>
      <c r="H365" s="54" t="s">
        <v>19</v>
      </c>
      <c r="I365" s="54" t="s">
        <v>19</v>
      </c>
      <c r="J365" s="54" t="s">
        <v>19</v>
      </c>
      <c r="K365" s="52" t="str">
        <f t="shared" si="24"/>
        <v>Mpox</v>
      </c>
      <c r="M365" s="55"/>
    </row>
    <row r="366">
      <c r="A366" s="29"/>
      <c r="B366" s="50" t="str">
        <f>IFERROR(__xludf.DUMMYFUNCTION("""COMPUTED_VALUE"""),"Medically Isolated                    ")</f>
        <v>Medically Isolated                    </v>
      </c>
      <c r="C366" s="29" t="str">
        <f>IFERROR(__xludf.DUMMYFUNCTION("""COMPUTED_VALUE"""),"GENEPIO:0100047")</f>
        <v>GENEPIO:0100047</v>
      </c>
      <c r="D366" s="29" t="str">
        <f>IFERROR(__xludf.DUMMYFUNCTION("""COMPUTED_VALUE"""),"Separation of people with a contagious disease from population to reduce the spread of the disease.")</f>
        <v>Separation of people with a contagious disease from population to reduce the spread of the disease.</v>
      </c>
      <c r="E366" s="29"/>
      <c r="F366" s="29"/>
      <c r="G366" s="29"/>
      <c r="H366" s="54" t="s">
        <v>19</v>
      </c>
      <c r="I366" s="54" t="s">
        <v>19</v>
      </c>
      <c r="J366" s="54" t="s">
        <v>19</v>
      </c>
      <c r="K366" s="52" t="str">
        <f t="shared" si="24"/>
        <v>Mpox</v>
      </c>
      <c r="M366" s="55"/>
    </row>
    <row r="367">
      <c r="A367" s="29"/>
      <c r="B367" s="50" t="str">
        <f>IFERROR(__xludf.DUMMYFUNCTION("""COMPUTED_VALUE"""),"     Medically Isolated (Negative Pressure)               ")</f>
        <v>     Medically Isolated (Negative Pressure)               </v>
      </c>
      <c r="C367" s="29" t="str">
        <f>IFERROR(__xludf.DUMMYFUNCTION("""COMPUTED_VALUE"""),"GENEPIO:0100048")</f>
        <v>GENEPIO:0100048</v>
      </c>
      <c r="D367"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67" s="29"/>
      <c r="F367" s="29"/>
      <c r="G367" s="29"/>
      <c r="H367" s="54"/>
      <c r="I367" s="54"/>
      <c r="J367" s="54"/>
      <c r="K367" s="53" t="s">
        <v>31</v>
      </c>
      <c r="L367" s="29" t="str">
        <f>LEFT(A367, LEN(A367) - 5)
</f>
        <v>#VALUE!</v>
      </c>
      <c r="M367" s="58" t="s">
        <v>32</v>
      </c>
    </row>
    <row r="368">
      <c r="A368" s="29"/>
      <c r="B368" s="50" t="str">
        <f>IFERROR(__xludf.DUMMYFUNCTION("""COMPUTED_VALUE"""),"Self-quarantining                    ")</f>
        <v>Self-quarantining                    </v>
      </c>
      <c r="C368" s="29" t="str">
        <f>IFERROR(__xludf.DUMMYFUNCTION("""COMPUTED_VALUE"""),"NCIT:C173768")</f>
        <v>NCIT:C173768</v>
      </c>
      <c r="D368"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68" s="29"/>
      <c r="F368" s="29"/>
      <c r="G368" s="29"/>
      <c r="H368" s="54" t="s">
        <v>19</v>
      </c>
      <c r="I368" s="54" t="s">
        <v>19</v>
      </c>
      <c r="J368" s="54" t="s">
        <v>19</v>
      </c>
      <c r="K368" s="52" t="str">
        <f t="shared" ref="K368:K373" si="25">K367</f>
        <v>International</v>
      </c>
    </row>
    <row r="369">
      <c r="A369" s="53" t="str">
        <f>IFERROR(__xludf.DUMMYFUNCTION("""COMPUTED_VALUE"""),"host health status details international menu")</f>
        <v>host health status details international menu</v>
      </c>
      <c r="B369" s="50" t="str">
        <f>IFERROR(__xludf.DUMMYFUNCTION("""COMPUTED_VALUE"""),"                    ")</f>
        <v>                    </v>
      </c>
      <c r="C369" s="53"/>
      <c r="D369" s="29" t="str">
        <f>IFERROR(__xludf.DUMMYFUNCTION("""COMPUTED_VALUE"""),"")</f>
        <v/>
      </c>
      <c r="E369" s="53"/>
      <c r="F369" s="53"/>
      <c r="G369" s="53"/>
      <c r="H369" s="54" t="s">
        <v>19</v>
      </c>
      <c r="I369" s="54" t="s">
        <v>19</v>
      </c>
      <c r="J369" s="54" t="s">
        <v>19</v>
      </c>
      <c r="K369" s="52" t="str">
        <f t="shared" si="25"/>
        <v>International</v>
      </c>
      <c r="M369" s="56"/>
    </row>
    <row r="370">
      <c r="A370" s="53"/>
      <c r="B370" s="50" t="str">
        <f>IFERROR(__xludf.DUMMYFUNCTION("""COMPUTED_VALUE"""),"Hospitalized [NCIT:C25179]                    ")</f>
        <v>Hospitalized [NCIT:C25179]                    </v>
      </c>
      <c r="C370" s="53" t="str">
        <f>IFERROR(__xludf.DUMMYFUNCTION("""COMPUTED_VALUE"""),"NCIT:C25179")</f>
        <v>NCIT:C25179</v>
      </c>
      <c r="D370" s="29" t="str">
        <f>IFERROR(__xludf.DUMMYFUNCTION("""COMPUTED_VALUE"""),"The condition of being treated as a patient in a hospital.")</f>
        <v>The condition of being treated as a patient in a hospital.</v>
      </c>
      <c r="H370" s="52" t="s">
        <v>19</v>
      </c>
      <c r="I370" s="52" t="s">
        <v>19</v>
      </c>
      <c r="J370" s="52" t="s">
        <v>19</v>
      </c>
      <c r="K370" s="52" t="str">
        <f t="shared" si="25"/>
        <v>International</v>
      </c>
      <c r="M370" s="55"/>
    </row>
    <row r="371">
      <c r="A371" s="53"/>
      <c r="B371" s="50" t="str">
        <f>IFERROR(__xludf.DUMMYFUNCTION("""COMPUTED_VALUE"""),"     Hospitalized (Non-ICU) [GENEPIO:0100045]               ")</f>
        <v>     Hospitalized (Non-ICU) [GENEPIO:0100045]               </v>
      </c>
      <c r="C371" s="53" t="str">
        <f>IFERROR(__xludf.DUMMYFUNCTION("""COMPUTED_VALUE"""),"GENEPIO:0100045")</f>
        <v>GENEPIO:0100045</v>
      </c>
      <c r="D371" s="29" t="str">
        <f>IFERROR(__xludf.DUMMYFUNCTION("""COMPUTED_VALUE"""),"The condition of being treated as a patient in a hospital without admission to an intensive care unit (ICU).")</f>
        <v>The condition of being treated as a patient in a hospital without admission to an intensive care unit (ICU).</v>
      </c>
      <c r="H371" s="52" t="s">
        <v>19</v>
      </c>
      <c r="I371" s="52" t="s">
        <v>19</v>
      </c>
      <c r="J371" s="52" t="s">
        <v>19</v>
      </c>
      <c r="K371" s="52" t="str">
        <f t="shared" si="25"/>
        <v>International</v>
      </c>
      <c r="M371" s="55"/>
    </row>
    <row r="372">
      <c r="A372" s="29"/>
      <c r="B372" s="50" t="str">
        <f>IFERROR(__xludf.DUMMYFUNCTION("""COMPUTED_VALUE"""),"     Hospitalized (ICU) [GENEPIO:0100046]               ")</f>
        <v>     Hospitalized (ICU) [GENEPIO:0100046]               </v>
      </c>
      <c r="C372" s="29" t="str">
        <f>IFERROR(__xludf.DUMMYFUNCTION("""COMPUTED_VALUE"""),"GENEPIO:0100046")</f>
        <v>GENEPIO:0100046</v>
      </c>
      <c r="D372" s="29" t="str">
        <f>IFERROR(__xludf.DUMMYFUNCTION("""COMPUTED_VALUE"""),"The condition of being treated as a patient in a hospital intensive care unit (ICU).")</f>
        <v>The condition of being treated as a patient in a hospital intensive care unit (ICU).</v>
      </c>
      <c r="E372" s="29"/>
      <c r="F372" s="29"/>
      <c r="G372" s="29"/>
      <c r="H372" s="54" t="s">
        <v>19</v>
      </c>
      <c r="I372" s="54" t="s">
        <v>19</v>
      </c>
      <c r="J372" s="54" t="s">
        <v>19</v>
      </c>
      <c r="K372" s="52" t="str">
        <f t="shared" si="25"/>
        <v>International</v>
      </c>
      <c r="M372" s="55"/>
    </row>
    <row r="373">
      <c r="A373" s="29"/>
      <c r="B373" s="50" t="str">
        <f>IFERROR(__xludf.DUMMYFUNCTION("""COMPUTED_VALUE"""),"Medically Isolated [GENEPIO:0100047]                    ")</f>
        <v>Medically Isolated [GENEPIO:0100047]                    </v>
      </c>
      <c r="C373" s="29" t="str">
        <f>IFERROR(__xludf.DUMMYFUNCTION("""COMPUTED_VALUE"""),"GENEPIO:0100047")</f>
        <v>GENEPIO:0100047</v>
      </c>
      <c r="D373" s="29" t="str">
        <f>IFERROR(__xludf.DUMMYFUNCTION("""COMPUTED_VALUE"""),"Separation of people with a contagious disease from population to reduce the spread of the disease.")</f>
        <v>Separation of people with a contagious disease from population to reduce the spread of the disease.</v>
      </c>
      <c r="E373" s="29"/>
      <c r="F373" s="29"/>
      <c r="G373" s="29"/>
      <c r="H373" s="54" t="s">
        <v>19</v>
      </c>
      <c r="I373" s="54" t="s">
        <v>19</v>
      </c>
      <c r="J373" s="54" t="s">
        <v>19</v>
      </c>
      <c r="K373" s="52" t="str">
        <f t="shared" si="25"/>
        <v>International</v>
      </c>
    </row>
    <row r="374">
      <c r="A374" s="29"/>
      <c r="B374" s="50" t="str">
        <f>IFERROR(__xludf.DUMMYFUNCTION("""COMPUTED_VALUE"""),"     Medically Isolated (Negative Pressure) [GENEPIO:0100048]               ")</f>
        <v>     Medically Isolated (Negative Pressure) [GENEPIO:0100048]               </v>
      </c>
      <c r="C374" s="29" t="str">
        <f>IFERROR(__xludf.DUMMYFUNCTION("""COMPUTED_VALUE"""),"GENEPIO:0100048")</f>
        <v>GENEPIO:0100048</v>
      </c>
      <c r="D374"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74" s="29"/>
      <c r="F374" s="29"/>
      <c r="G374" s="29"/>
      <c r="H374" s="54"/>
      <c r="I374" s="54"/>
      <c r="J374" s="54"/>
      <c r="K374" s="53" t="s">
        <v>29</v>
      </c>
      <c r="L374" s="53" t="str">
        <f>LEFT(A374, LEN(A374) - 5)
</f>
        <v>#VALUE!</v>
      </c>
      <c r="M374" s="60" t="s">
        <v>29</v>
      </c>
    </row>
    <row r="375">
      <c r="A375" s="53"/>
      <c r="B375" s="50" t="str">
        <f>IFERROR(__xludf.DUMMYFUNCTION("""COMPUTED_VALUE"""),"Self-quarantining [NCIT:C173768]                    ")</f>
        <v>Self-quarantining [NCIT:C173768]                    </v>
      </c>
      <c r="C375" s="53" t="str">
        <f>IFERROR(__xludf.DUMMYFUNCTION("""COMPUTED_VALUE"""),"NCIT:C173768")</f>
        <v>NCIT:C173768</v>
      </c>
      <c r="D375"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75" s="54" t="s">
        <v>19</v>
      </c>
      <c r="I375" s="54" t="s">
        <v>19</v>
      </c>
      <c r="J375" s="54" t="s">
        <v>19</v>
      </c>
      <c r="K375" s="52" t="str">
        <f t="shared" ref="K375:K378" si="26">K374</f>
        <v>Mpox</v>
      </c>
      <c r="M375" s="55"/>
    </row>
    <row r="376">
      <c r="A376" s="53" t="str">
        <f>IFERROR(__xludf.DUMMYFUNCTION("""COMPUTED_VALUE"""),"host health outcome menu")</f>
        <v>host health outcome menu</v>
      </c>
      <c r="B376" s="50" t="str">
        <f>IFERROR(__xludf.DUMMYFUNCTION("""COMPUTED_VALUE"""),"                    ")</f>
        <v>                    </v>
      </c>
      <c r="C376" s="53"/>
      <c r="D376" s="29" t="str">
        <f>IFERROR(__xludf.DUMMYFUNCTION("""COMPUTED_VALUE"""),"")</f>
        <v/>
      </c>
      <c r="E376" s="53"/>
      <c r="F376" s="53"/>
      <c r="G376" s="53"/>
      <c r="H376" s="52" t="s">
        <v>19</v>
      </c>
      <c r="I376" s="52" t="s">
        <v>19</v>
      </c>
      <c r="J376" s="52" t="s">
        <v>19</v>
      </c>
      <c r="K376" s="52" t="str">
        <f t="shared" si="26"/>
        <v>Mpox</v>
      </c>
      <c r="M376" s="55"/>
    </row>
    <row r="377">
      <c r="A377" s="53"/>
      <c r="B377" s="50" t="str">
        <f>IFERROR(__xludf.DUMMYFUNCTION("""COMPUTED_VALUE"""),"Deceased                    ")</f>
        <v>Deceased                    </v>
      </c>
      <c r="C377" s="53" t="str">
        <f>IFERROR(__xludf.DUMMYFUNCTION("""COMPUTED_VALUE"""),"NCIT:C28554")</f>
        <v>NCIT:C28554</v>
      </c>
      <c r="D377" s="29" t="str">
        <f>IFERROR(__xludf.DUMMYFUNCTION("""COMPUTED_VALUE"""),"The cessation of life.")</f>
        <v>The cessation of life.</v>
      </c>
      <c r="H377" s="52" t="s">
        <v>19</v>
      </c>
      <c r="I377" s="52" t="s">
        <v>19</v>
      </c>
      <c r="J377" s="52" t="s">
        <v>19</v>
      </c>
      <c r="K377" s="52" t="str">
        <f t="shared" si="26"/>
        <v>Mpox</v>
      </c>
      <c r="M377" s="55"/>
    </row>
    <row r="378">
      <c r="A378" s="53"/>
      <c r="B378" s="50" t="str">
        <f>IFERROR(__xludf.DUMMYFUNCTION("""COMPUTED_VALUE"""),"Deteriorating                    ")</f>
        <v>Deteriorating                    </v>
      </c>
      <c r="C378" s="53" t="str">
        <f>IFERROR(__xludf.DUMMYFUNCTION("""COMPUTED_VALUE"""),"NCIT:C25254")</f>
        <v>NCIT:C25254</v>
      </c>
      <c r="D378" s="29" t="str">
        <f>IFERROR(__xludf.DUMMYFUNCTION("""COMPUTED_VALUE"""),"Advancing in extent or severity.")</f>
        <v>Advancing in extent or severity.</v>
      </c>
      <c r="H378" s="52" t="s">
        <v>19</v>
      </c>
      <c r="I378" s="52" t="s">
        <v>19</v>
      </c>
      <c r="J378" s="52" t="s">
        <v>19</v>
      </c>
      <c r="K378" s="52" t="str">
        <f t="shared" si="26"/>
        <v>Mpox</v>
      </c>
      <c r="M378" s="57"/>
    </row>
    <row r="379">
      <c r="A379" s="53"/>
      <c r="B379" s="50" t="str">
        <f>IFERROR(__xludf.DUMMYFUNCTION("""COMPUTED_VALUE"""),"Recovered                    ")</f>
        <v>Recovered                    </v>
      </c>
      <c r="C379" s="53" t="str">
        <f>IFERROR(__xludf.DUMMYFUNCTION("""COMPUTED_VALUE"""),"NCIT:C49498")</f>
        <v>NCIT:C49498</v>
      </c>
      <c r="D379"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9" s="52"/>
      <c r="I379" s="52"/>
      <c r="J379" s="52"/>
      <c r="K379" s="53" t="s">
        <v>31</v>
      </c>
      <c r="L379" s="29" t="str">
        <f>LEFT(A379, LEN(A379) - 5)
</f>
        <v>#VALUE!</v>
      </c>
      <c r="M379" s="58" t="s">
        <v>32</v>
      </c>
    </row>
    <row r="380">
      <c r="A380" s="53"/>
      <c r="B380" s="50" t="str">
        <f>IFERROR(__xludf.DUMMYFUNCTION("""COMPUTED_VALUE"""),"Stable                    ")</f>
        <v>Stable                    </v>
      </c>
      <c r="C380" s="53" t="str">
        <f>IFERROR(__xludf.DUMMYFUNCTION("""COMPUTED_VALUE"""),"NCIT:C30103")</f>
        <v>NCIT:C30103</v>
      </c>
      <c r="D380" s="29" t="str">
        <f>IFERROR(__xludf.DUMMYFUNCTION("""COMPUTED_VALUE"""),"Subject to little fluctuation; showing little if any change.")</f>
        <v>Subject to little fluctuation; showing little if any change.</v>
      </c>
      <c r="H380" s="52" t="s">
        <v>19</v>
      </c>
      <c r="I380" s="52" t="s">
        <v>19</v>
      </c>
      <c r="J380" s="52" t="s">
        <v>19</v>
      </c>
      <c r="K380" s="52" t="str">
        <f t="shared" ref="K380:K384" si="27">K379</f>
        <v>International</v>
      </c>
      <c r="M380" s="56"/>
    </row>
    <row r="381">
      <c r="A381" s="53" t="str">
        <f>IFERROR(__xludf.DUMMYFUNCTION("""COMPUTED_VALUE"""),"host health outcome international menu")</f>
        <v>host health outcome international menu</v>
      </c>
      <c r="B381" s="50" t="str">
        <f>IFERROR(__xludf.DUMMYFUNCTION("""COMPUTED_VALUE"""),"                    ")</f>
        <v>                    </v>
      </c>
      <c r="C381" s="53"/>
      <c r="D381" s="29" t="str">
        <f>IFERROR(__xludf.DUMMYFUNCTION("""COMPUTED_VALUE"""),"")</f>
        <v/>
      </c>
      <c r="E381" s="53"/>
      <c r="F381" s="53"/>
      <c r="G381" s="53"/>
      <c r="H381" s="52" t="s">
        <v>19</v>
      </c>
      <c r="I381" s="52" t="s">
        <v>19</v>
      </c>
      <c r="J381" s="52" t="s">
        <v>19</v>
      </c>
      <c r="K381" s="52" t="str">
        <f t="shared" si="27"/>
        <v>International</v>
      </c>
      <c r="M381" s="55"/>
    </row>
    <row r="382">
      <c r="A382" s="53"/>
      <c r="B382" s="50" t="str">
        <f>IFERROR(__xludf.DUMMYFUNCTION("""COMPUTED_VALUE"""),"Deceased [NCIT:C28554]                    ")</f>
        <v>Deceased [NCIT:C28554]                    </v>
      </c>
      <c r="C382" s="53" t="str">
        <f>IFERROR(__xludf.DUMMYFUNCTION("""COMPUTED_VALUE"""),"NCIT:C28554")</f>
        <v>NCIT:C28554</v>
      </c>
      <c r="D382" s="29" t="str">
        <f>IFERROR(__xludf.DUMMYFUNCTION("""COMPUTED_VALUE"""),"The cessation of life.")</f>
        <v>The cessation of life.</v>
      </c>
      <c r="H382" s="54" t="s">
        <v>19</v>
      </c>
      <c r="I382" s="54" t="s">
        <v>19</v>
      </c>
      <c r="J382" s="54" t="s">
        <v>19</v>
      </c>
      <c r="K382" s="52" t="str">
        <f t="shared" si="27"/>
        <v>International</v>
      </c>
    </row>
    <row r="383">
      <c r="A383" s="53"/>
      <c r="B383" s="50" t="str">
        <f>IFERROR(__xludf.DUMMYFUNCTION("""COMPUTED_VALUE"""),"Deteriorating [NCIT:C25254]                    ")</f>
        <v>Deteriorating [NCIT:C25254]                    </v>
      </c>
      <c r="C383" s="53" t="str">
        <f>IFERROR(__xludf.DUMMYFUNCTION("""COMPUTED_VALUE"""),"NCIT:C25254")</f>
        <v>NCIT:C25254</v>
      </c>
      <c r="D383" s="29" t="str">
        <f>IFERROR(__xludf.DUMMYFUNCTION("""COMPUTED_VALUE"""),"Advancing in extent or severity.")</f>
        <v>Advancing in extent or severity.</v>
      </c>
      <c r="H383" s="52" t="s">
        <v>19</v>
      </c>
      <c r="I383" s="52" t="s">
        <v>19</v>
      </c>
      <c r="J383" s="52" t="s">
        <v>19</v>
      </c>
      <c r="K383" s="52" t="str">
        <f t="shared" si="27"/>
        <v>International</v>
      </c>
      <c r="M383" s="56"/>
    </row>
    <row r="384">
      <c r="A384" s="53"/>
      <c r="B384" s="50" t="str">
        <f>IFERROR(__xludf.DUMMYFUNCTION("""COMPUTED_VALUE"""),"Recovered [NCIT:C49498]                    ")</f>
        <v>Recovered [NCIT:C49498]                    </v>
      </c>
      <c r="C384" s="53" t="str">
        <f>IFERROR(__xludf.DUMMYFUNCTION("""COMPUTED_VALUE"""),"NCIT:C49498")</f>
        <v>NCIT:C49498</v>
      </c>
      <c r="D384"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84" s="52" t="s">
        <v>19</v>
      </c>
      <c r="I384" s="52" t="s">
        <v>19</v>
      </c>
      <c r="J384" s="52" t="s">
        <v>19</v>
      </c>
      <c r="K384" s="52" t="str">
        <f t="shared" si="27"/>
        <v>International</v>
      </c>
      <c r="M384" s="55"/>
    </row>
    <row r="385">
      <c r="A385" s="53"/>
      <c r="B385" s="50" t="str">
        <f>IFERROR(__xludf.DUMMYFUNCTION("""COMPUTED_VALUE"""),"Stable [NCIT:C30103]                    ")</f>
        <v>Stable [NCIT:C30103]                    </v>
      </c>
      <c r="C385" s="53" t="str">
        <f>IFERROR(__xludf.DUMMYFUNCTION("""COMPUTED_VALUE"""),"NCIT:C30103")</f>
        <v>NCIT:C30103</v>
      </c>
      <c r="D385" s="29" t="str">
        <f>IFERROR(__xludf.DUMMYFUNCTION("""COMPUTED_VALUE"""),"Subject to little fluctuation; showing little if any change.")</f>
        <v>Subject to little fluctuation; showing little if any change.</v>
      </c>
      <c r="H385" s="52"/>
      <c r="I385" s="52"/>
      <c r="J385" s="52"/>
      <c r="K385" s="53" t="s">
        <v>29</v>
      </c>
      <c r="L385" s="53" t="str">
        <f>LEFT(A385, LEN(A385) - 5)
</f>
        <v>#VALUE!</v>
      </c>
      <c r="M385" s="53" t="str">
        <f>VLOOKUP(L385,'Field Reference Guide'!$B$6:$N$220,13,false)</f>
        <v>#VALUE!</v>
      </c>
    </row>
    <row r="386">
      <c r="A386" s="53"/>
      <c r="B386" s="50" t="str">
        <f>IFERROR(__xludf.DUMMYFUNCTION("""COMPUTED_VALUE"""),"                    ")</f>
        <v>                    </v>
      </c>
      <c r="C386" s="53"/>
      <c r="D386" s="29" t="str">
        <f>IFERROR(__xludf.DUMMYFUNCTION("""COMPUTED_VALUE"""),"")</f>
        <v/>
      </c>
      <c r="H386" s="52" t="s">
        <v>19</v>
      </c>
      <c r="I386" s="52" t="s">
        <v>19</v>
      </c>
      <c r="J386" s="52" t="s">
        <v>19</v>
      </c>
      <c r="K386" s="52" t="str">
        <f t="shared" ref="K386:K387" si="28">K385</f>
        <v>Mpox</v>
      </c>
      <c r="M386" s="56"/>
    </row>
    <row r="387">
      <c r="A387" s="29" t="str">
        <f>IFERROR(__xludf.DUMMYFUNCTION("""COMPUTED_VALUE"""),"host age unit menu")</f>
        <v>host age unit menu</v>
      </c>
      <c r="B387" s="50" t="str">
        <f>IFERROR(__xludf.DUMMYFUNCTION("""COMPUTED_VALUE"""),"                    ")</f>
        <v>                    </v>
      </c>
      <c r="C387" s="29"/>
      <c r="D387" s="29" t="str">
        <f>IFERROR(__xludf.DUMMYFUNCTION("""COMPUTED_VALUE"""),"")</f>
        <v/>
      </c>
      <c r="E387" s="29"/>
      <c r="F387" s="29"/>
      <c r="G387" s="29"/>
      <c r="H387" s="54" t="s">
        <v>19</v>
      </c>
      <c r="I387" s="54" t="s">
        <v>19</v>
      </c>
      <c r="J387" s="54" t="s">
        <v>19</v>
      </c>
      <c r="K387" s="52" t="str">
        <f t="shared" si="28"/>
        <v>Mpox</v>
      </c>
      <c r="M387" s="55"/>
    </row>
    <row r="388">
      <c r="A388" s="29"/>
      <c r="B388" s="50" t="str">
        <f>IFERROR(__xludf.DUMMYFUNCTION("""COMPUTED_VALUE"""),"month                    ")</f>
        <v>month                    </v>
      </c>
      <c r="C388" s="29" t="str">
        <f>IFERROR(__xludf.DUMMYFUNCTION("""COMPUTED_VALUE"""),"UO:0000035")</f>
        <v>UO:0000035</v>
      </c>
      <c r="D388"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88" s="29"/>
      <c r="F388" s="29"/>
      <c r="G388" s="29"/>
      <c r="H388" s="54"/>
      <c r="I388" s="54"/>
      <c r="J388" s="54"/>
      <c r="K388" s="53" t="s">
        <v>31</v>
      </c>
      <c r="L388" s="29" t="str">
        <f>LEFT(A388, LEN(A388) - 5)
</f>
        <v>#VALUE!</v>
      </c>
      <c r="M388" s="58" t="s">
        <v>32</v>
      </c>
    </row>
    <row r="389">
      <c r="A389" s="29"/>
      <c r="B389" s="50" t="str">
        <f>IFERROR(__xludf.DUMMYFUNCTION("""COMPUTED_VALUE"""),"year                    ")</f>
        <v>year                    </v>
      </c>
      <c r="C389" s="29" t="str">
        <f>IFERROR(__xludf.DUMMYFUNCTION("""COMPUTED_VALUE"""),"UO:0000036")</f>
        <v>UO:0000036</v>
      </c>
      <c r="D389" s="29" t="str">
        <f>IFERROR(__xludf.DUMMYFUNCTION("""COMPUTED_VALUE"""),"A time unit which is equal to 12 months which in science is taken to be equal to 365.25 days.")</f>
        <v>A time unit which is equal to 12 months which in science is taken to be equal to 365.25 days.</v>
      </c>
      <c r="E389" s="29"/>
      <c r="F389" s="29"/>
      <c r="G389" s="29"/>
      <c r="H389" s="54" t="s">
        <v>19</v>
      </c>
      <c r="I389" s="54" t="s">
        <v>19</v>
      </c>
      <c r="J389" s="54" t="s">
        <v>19</v>
      </c>
      <c r="K389" s="52" t="str">
        <f t="shared" ref="K389:K390" si="29">K388</f>
        <v>International</v>
      </c>
      <c r="M389" s="55"/>
    </row>
    <row r="390">
      <c r="A390" s="29" t="str">
        <f>IFERROR(__xludf.DUMMYFUNCTION("""COMPUTED_VALUE"""),"host age unit international menu")</f>
        <v>host age unit international menu</v>
      </c>
      <c r="B390" s="50" t="str">
        <f>IFERROR(__xludf.DUMMYFUNCTION("""COMPUTED_VALUE"""),"                    ")</f>
        <v>                    </v>
      </c>
      <c r="C390" s="29"/>
      <c r="D390" s="29" t="str">
        <f>IFERROR(__xludf.DUMMYFUNCTION("""COMPUTED_VALUE"""),"")</f>
        <v/>
      </c>
      <c r="E390" s="29"/>
      <c r="F390" s="29"/>
      <c r="G390" s="29"/>
      <c r="H390" s="54" t="s">
        <v>19</v>
      </c>
      <c r="I390" s="54" t="s">
        <v>19</v>
      </c>
      <c r="J390" s="54" t="s">
        <v>19</v>
      </c>
      <c r="K390" s="52" t="str">
        <f t="shared" si="29"/>
        <v>International</v>
      </c>
      <c r="M390" s="55"/>
    </row>
    <row r="391">
      <c r="A391" s="29"/>
      <c r="B391" s="50" t="str">
        <f>IFERROR(__xludf.DUMMYFUNCTION("""COMPUTED_VALUE"""),"month [UO:0000035]                    ")</f>
        <v>month [UO:0000035]                    </v>
      </c>
      <c r="C391" s="29" t="str">
        <f>IFERROR(__xludf.DUMMYFUNCTION("""COMPUTED_VALUE"""),"UO:0000035")</f>
        <v>UO:0000035</v>
      </c>
      <c r="D391"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91" s="29"/>
      <c r="F391" s="29"/>
      <c r="G391" s="29"/>
      <c r="H391" s="54"/>
      <c r="I391" s="54"/>
      <c r="J391" s="54"/>
      <c r="K391" s="53" t="s">
        <v>29</v>
      </c>
      <c r="L391" s="53" t="str">
        <f>LEFT(A391, LEN(A391) - 5)
</f>
        <v>#VALUE!</v>
      </c>
      <c r="M391" s="60" t="s">
        <v>29</v>
      </c>
    </row>
    <row r="392">
      <c r="A392" s="29"/>
      <c r="B392" s="50" t="str">
        <f>IFERROR(__xludf.DUMMYFUNCTION("""COMPUTED_VALUE"""),"year [UO:0000036]                    ")</f>
        <v>year [UO:0000036]                    </v>
      </c>
      <c r="C392" s="29" t="str">
        <f>IFERROR(__xludf.DUMMYFUNCTION("""COMPUTED_VALUE"""),"UO:0000036")</f>
        <v>UO:0000036</v>
      </c>
      <c r="D392" s="29" t="str">
        <f>IFERROR(__xludf.DUMMYFUNCTION("""COMPUTED_VALUE"""),"A time unit which is equal to 12 months which in science is taken to be equal to 365.25 days.")</f>
        <v>A time unit which is equal to 12 months which in science is taken to be equal to 365.25 days.</v>
      </c>
      <c r="E392" s="29"/>
      <c r="F392" s="29"/>
      <c r="G392" s="29"/>
      <c r="H392" s="54" t="s">
        <v>19</v>
      </c>
      <c r="I392" s="54" t="s">
        <v>19</v>
      </c>
      <c r="J392" s="54" t="s">
        <v>19</v>
      </c>
      <c r="K392" s="52" t="str">
        <f t="shared" ref="K392:K402" si="30">K391</f>
        <v>Mpox</v>
      </c>
      <c r="M392" s="55"/>
    </row>
    <row r="393">
      <c r="A393" s="29" t="str">
        <f>IFERROR(__xludf.DUMMYFUNCTION("""COMPUTED_VALUE"""),"host age bin menu")</f>
        <v>host age bin menu</v>
      </c>
      <c r="B393" s="50" t="str">
        <f>IFERROR(__xludf.DUMMYFUNCTION("""COMPUTED_VALUE"""),"                    ")</f>
        <v>                    </v>
      </c>
      <c r="C393" s="29"/>
      <c r="D393" s="29" t="str">
        <f>IFERROR(__xludf.DUMMYFUNCTION("""COMPUTED_VALUE"""),"")</f>
        <v/>
      </c>
      <c r="E393" s="29"/>
      <c r="F393" s="29"/>
      <c r="G393" s="29"/>
      <c r="H393" s="54" t="s">
        <v>19</v>
      </c>
      <c r="I393" s="54" t="s">
        <v>19</v>
      </c>
      <c r="J393" s="54" t="s">
        <v>19</v>
      </c>
      <c r="K393" s="52" t="str">
        <f t="shared" si="30"/>
        <v>Mpox</v>
      </c>
      <c r="M393" s="55"/>
    </row>
    <row r="394">
      <c r="A394" s="29"/>
      <c r="B394" s="50" t="str">
        <f>IFERROR(__xludf.DUMMYFUNCTION("""COMPUTED_VALUE"""),"0 - 9                    ")</f>
        <v>0 - 9                    </v>
      </c>
      <c r="C394" s="29" t="str">
        <f>IFERROR(__xludf.DUMMYFUNCTION("""COMPUTED_VALUE"""),"GENEPIO:0100049")</f>
        <v>GENEPIO:0100049</v>
      </c>
      <c r="D394" s="29" t="str">
        <f>IFERROR(__xludf.DUMMYFUNCTION("""COMPUTED_VALUE"""),"An age group that stratifies the age of a case to be between 0 to 9 years old (inclusive).")</f>
        <v>An age group that stratifies the age of a case to be between 0 to 9 years old (inclusive).</v>
      </c>
      <c r="E394" s="29"/>
      <c r="F394" s="29"/>
      <c r="G394" s="29"/>
      <c r="H394" s="54" t="s">
        <v>19</v>
      </c>
      <c r="I394" s="54" t="s">
        <v>19</v>
      </c>
      <c r="J394" s="54" t="s">
        <v>19</v>
      </c>
      <c r="K394" s="52" t="str">
        <f t="shared" si="30"/>
        <v>Mpox</v>
      </c>
      <c r="M394" s="55"/>
    </row>
    <row r="395">
      <c r="A395" s="29"/>
      <c r="B395" s="50" t="str">
        <f>IFERROR(__xludf.DUMMYFUNCTION("""COMPUTED_VALUE"""),"10 - 19                    ")</f>
        <v>10 - 19                    </v>
      </c>
      <c r="C395" s="29" t="str">
        <f>IFERROR(__xludf.DUMMYFUNCTION("""COMPUTED_VALUE"""),"GENEPIO:0100050")</f>
        <v>GENEPIO:0100050</v>
      </c>
      <c r="D395" s="29" t="str">
        <f>IFERROR(__xludf.DUMMYFUNCTION("""COMPUTED_VALUE"""),"An age group that stratifies the age of a case to be between 10 to 19 years old (inclusive).")</f>
        <v>An age group that stratifies the age of a case to be between 10 to 19 years old (inclusive).</v>
      </c>
      <c r="E395" s="29"/>
      <c r="F395" s="29"/>
      <c r="G395" s="29"/>
      <c r="H395" s="54" t="s">
        <v>19</v>
      </c>
      <c r="I395" s="54" t="s">
        <v>19</v>
      </c>
      <c r="J395" s="54" t="s">
        <v>19</v>
      </c>
      <c r="K395" s="52" t="str">
        <f t="shared" si="30"/>
        <v>Mpox</v>
      </c>
      <c r="M395" s="55"/>
    </row>
    <row r="396">
      <c r="A396" s="29"/>
      <c r="B396" s="50" t="str">
        <f>IFERROR(__xludf.DUMMYFUNCTION("""COMPUTED_VALUE"""),"20 - 29                    ")</f>
        <v>20 - 29                    </v>
      </c>
      <c r="C396" s="29" t="str">
        <f>IFERROR(__xludf.DUMMYFUNCTION("""COMPUTED_VALUE"""),"GENEPIO:0100051")</f>
        <v>GENEPIO:0100051</v>
      </c>
      <c r="D396" s="29" t="str">
        <f>IFERROR(__xludf.DUMMYFUNCTION("""COMPUTED_VALUE"""),"An age group that stratifies the age of a case to be between 20 to 29 years old (inclusive).")</f>
        <v>An age group that stratifies the age of a case to be between 20 to 29 years old (inclusive).</v>
      </c>
      <c r="E396" s="29"/>
      <c r="F396" s="29"/>
      <c r="G396" s="29"/>
      <c r="H396" s="54" t="s">
        <v>19</v>
      </c>
      <c r="I396" s="54" t="s">
        <v>19</v>
      </c>
      <c r="J396" s="54" t="s">
        <v>19</v>
      </c>
      <c r="K396" s="52" t="str">
        <f t="shared" si="30"/>
        <v>Mpox</v>
      </c>
      <c r="M396" s="55"/>
    </row>
    <row r="397">
      <c r="A397" s="29"/>
      <c r="B397" s="50" t="str">
        <f>IFERROR(__xludf.DUMMYFUNCTION("""COMPUTED_VALUE"""),"30 - 39                    ")</f>
        <v>30 - 39                    </v>
      </c>
      <c r="C397" s="29" t="str">
        <f>IFERROR(__xludf.DUMMYFUNCTION("""COMPUTED_VALUE"""),"GENEPIO:0100052")</f>
        <v>GENEPIO:0100052</v>
      </c>
      <c r="D397" s="29" t="str">
        <f>IFERROR(__xludf.DUMMYFUNCTION("""COMPUTED_VALUE"""),"An age group that stratifies the age of a case to be between 30 to 39 years old (inclusive).")</f>
        <v>An age group that stratifies the age of a case to be between 30 to 39 years old (inclusive).</v>
      </c>
      <c r="E397" s="29"/>
      <c r="F397" s="29"/>
      <c r="G397" s="29"/>
      <c r="H397" s="54" t="s">
        <v>19</v>
      </c>
      <c r="I397" s="54" t="s">
        <v>19</v>
      </c>
      <c r="J397" s="54" t="s">
        <v>19</v>
      </c>
      <c r="K397" s="52" t="str">
        <f t="shared" si="30"/>
        <v>Mpox</v>
      </c>
    </row>
    <row r="398">
      <c r="A398" s="29"/>
      <c r="B398" s="50" t="str">
        <f>IFERROR(__xludf.DUMMYFUNCTION("""COMPUTED_VALUE"""),"40 - 49                    ")</f>
        <v>40 - 49                    </v>
      </c>
      <c r="C398" s="29" t="str">
        <f>IFERROR(__xludf.DUMMYFUNCTION("""COMPUTED_VALUE"""),"GENEPIO:0100053")</f>
        <v>GENEPIO:0100053</v>
      </c>
      <c r="D398" s="29" t="str">
        <f>IFERROR(__xludf.DUMMYFUNCTION("""COMPUTED_VALUE"""),"An age group that stratifies the age of a case to be between 40 to 49 years old (inclusive).")</f>
        <v>An age group that stratifies the age of a case to be between 40 to 49 years old (inclusive).</v>
      </c>
      <c r="E398" s="29"/>
      <c r="F398" s="29"/>
      <c r="G398" s="29"/>
      <c r="H398" s="54" t="s">
        <v>19</v>
      </c>
      <c r="I398" s="54" t="s">
        <v>19</v>
      </c>
      <c r="J398" s="54" t="s">
        <v>19</v>
      </c>
      <c r="K398" s="52" t="str">
        <f t="shared" si="30"/>
        <v>Mpox</v>
      </c>
      <c r="M398" s="56"/>
    </row>
    <row r="399">
      <c r="A399" s="53"/>
      <c r="B399" s="50" t="str">
        <f>IFERROR(__xludf.DUMMYFUNCTION("""COMPUTED_VALUE"""),"50 - 59                    ")</f>
        <v>50 - 59                    </v>
      </c>
      <c r="C399" s="53" t="str">
        <f>IFERROR(__xludf.DUMMYFUNCTION("""COMPUTED_VALUE"""),"GENEPIO:0100054")</f>
        <v>GENEPIO:0100054</v>
      </c>
      <c r="D399" s="29" t="str">
        <f>IFERROR(__xludf.DUMMYFUNCTION("""COMPUTED_VALUE"""),"An age group that stratifies the age of a case to be between 50 to 59 years old (inclusive).")</f>
        <v>An age group that stratifies the age of a case to be between 50 to 59 years old (inclusive).</v>
      </c>
      <c r="H399" s="54" t="s">
        <v>19</v>
      </c>
      <c r="I399" s="54" t="s">
        <v>19</v>
      </c>
      <c r="J399" s="54" t="s">
        <v>19</v>
      </c>
      <c r="K399" s="52" t="str">
        <f t="shared" si="30"/>
        <v>Mpox</v>
      </c>
      <c r="M399" s="55"/>
    </row>
    <row r="400">
      <c r="A400" s="53"/>
      <c r="B400" s="50" t="str">
        <f>IFERROR(__xludf.DUMMYFUNCTION("""COMPUTED_VALUE"""),"60 - 69                    ")</f>
        <v>60 - 69                    </v>
      </c>
      <c r="C400" s="53" t="str">
        <f>IFERROR(__xludf.DUMMYFUNCTION("""COMPUTED_VALUE"""),"GENEPIO:0100055")</f>
        <v>GENEPIO:0100055</v>
      </c>
      <c r="D400" s="29" t="str">
        <f>IFERROR(__xludf.DUMMYFUNCTION("""COMPUTED_VALUE"""),"An age group that stratifies the age of a case to be between 60 to 69 years old (inclusive).")</f>
        <v>An age group that stratifies the age of a case to be between 60 to 69 years old (inclusive).</v>
      </c>
      <c r="H400" s="52" t="s">
        <v>19</v>
      </c>
      <c r="I400" s="52" t="s">
        <v>19</v>
      </c>
      <c r="J400" s="52" t="s">
        <v>19</v>
      </c>
      <c r="K400" s="52" t="str">
        <f t="shared" si="30"/>
        <v>Mpox</v>
      </c>
      <c r="M400" s="55"/>
    </row>
    <row r="401">
      <c r="A401" s="53"/>
      <c r="B401" s="50" t="str">
        <f>IFERROR(__xludf.DUMMYFUNCTION("""COMPUTED_VALUE"""),"70 - 79                    ")</f>
        <v>70 - 79                    </v>
      </c>
      <c r="C401" s="53" t="str">
        <f>IFERROR(__xludf.DUMMYFUNCTION("""COMPUTED_VALUE"""),"GENEPIO:0100056")</f>
        <v>GENEPIO:0100056</v>
      </c>
      <c r="D401" s="29" t="str">
        <f>IFERROR(__xludf.DUMMYFUNCTION("""COMPUTED_VALUE"""),"An age group that stratifies the age of a case to be between 70 to 79 years old (inclusive).")</f>
        <v>An age group that stratifies the age of a case to be between 70 to 79 years old (inclusive).</v>
      </c>
      <c r="H401" s="52" t="s">
        <v>19</v>
      </c>
      <c r="I401" s="52" t="s">
        <v>19</v>
      </c>
      <c r="J401" s="52" t="s">
        <v>19</v>
      </c>
      <c r="K401" s="52" t="str">
        <f t="shared" si="30"/>
        <v>Mpox</v>
      </c>
      <c r="M401" s="55"/>
    </row>
    <row r="402">
      <c r="A402" s="53"/>
      <c r="B402" s="50" t="str">
        <f>IFERROR(__xludf.DUMMYFUNCTION("""COMPUTED_VALUE"""),"80 - 89                    ")</f>
        <v>80 - 89                    </v>
      </c>
      <c r="C402" s="53" t="str">
        <f>IFERROR(__xludf.DUMMYFUNCTION("""COMPUTED_VALUE"""),"GENEPIO:0100057")</f>
        <v>GENEPIO:0100057</v>
      </c>
      <c r="D402" s="29" t="str">
        <f>IFERROR(__xludf.DUMMYFUNCTION("""COMPUTED_VALUE"""),"An age group that stratifies the age of a case to be between 80 to 89 years old (inclusive).")</f>
        <v>An age group that stratifies the age of a case to be between 80 to 89 years old (inclusive).</v>
      </c>
      <c r="H402" s="52" t="s">
        <v>19</v>
      </c>
      <c r="I402" s="52" t="s">
        <v>19</v>
      </c>
      <c r="J402" s="52" t="s">
        <v>19</v>
      </c>
      <c r="K402" s="52" t="str">
        <f t="shared" si="30"/>
        <v>Mpox</v>
      </c>
      <c r="M402" s="55"/>
    </row>
    <row r="403">
      <c r="A403" s="53"/>
      <c r="B403" s="50" t="str">
        <f>IFERROR(__xludf.DUMMYFUNCTION("""COMPUTED_VALUE"""),"90 - 99                    ")</f>
        <v>90 - 99                    </v>
      </c>
      <c r="C403" s="53" t="str">
        <f>IFERROR(__xludf.DUMMYFUNCTION("""COMPUTED_VALUE"""),"GENEPIO:0100058")</f>
        <v>GENEPIO:0100058</v>
      </c>
      <c r="D403" s="29" t="str">
        <f>IFERROR(__xludf.DUMMYFUNCTION("""COMPUTED_VALUE"""),"An age group that stratifies the age of a case to be between 90 to 99 years old (inclusive).")</f>
        <v>An age group that stratifies the age of a case to be between 90 to 99 years old (inclusive).</v>
      </c>
      <c r="H403" s="52"/>
      <c r="I403" s="52"/>
      <c r="J403" s="52"/>
      <c r="K403" s="53" t="s">
        <v>31</v>
      </c>
      <c r="L403" s="29" t="str">
        <f>LEFT(A403, LEN(A403) - 5)
</f>
        <v>#VALUE!</v>
      </c>
      <c r="M403" s="58" t="s">
        <v>32</v>
      </c>
    </row>
    <row r="404">
      <c r="A404" s="53"/>
      <c r="B404" s="50" t="str">
        <f>IFERROR(__xludf.DUMMYFUNCTION("""COMPUTED_VALUE"""),"100+                    ")</f>
        <v>100+                    </v>
      </c>
      <c r="C404" s="53" t="str">
        <f>IFERROR(__xludf.DUMMYFUNCTION("""COMPUTED_VALUE"""),"GENEPIO:0100059")</f>
        <v>GENEPIO:0100059</v>
      </c>
      <c r="D404" s="29" t="str">
        <f>IFERROR(__xludf.DUMMYFUNCTION("""COMPUTED_VALUE"""),"An age group that stratifies the age of a case to be greater than or equal to 100 years old.")</f>
        <v>An age group that stratifies the age of a case to be greater than or equal to 100 years old.</v>
      </c>
      <c r="H404" s="52" t="s">
        <v>19</v>
      </c>
      <c r="I404" s="52" t="s">
        <v>19</v>
      </c>
      <c r="J404" s="52" t="s">
        <v>19</v>
      </c>
      <c r="K404" s="52" t="str">
        <f t="shared" ref="K404:K414" si="31">K403</f>
        <v>International</v>
      </c>
      <c r="M404" s="55"/>
    </row>
    <row r="405">
      <c r="A405" s="53" t="str">
        <f>IFERROR(__xludf.DUMMYFUNCTION("""COMPUTED_VALUE"""),"host age bin international menu")</f>
        <v>host age bin international menu</v>
      </c>
      <c r="B405" s="50" t="str">
        <f>IFERROR(__xludf.DUMMYFUNCTION("""COMPUTED_VALUE"""),"                    ")</f>
        <v>                    </v>
      </c>
      <c r="C405" s="53"/>
      <c r="D405" s="29" t="str">
        <f>IFERROR(__xludf.DUMMYFUNCTION("""COMPUTED_VALUE"""),"")</f>
        <v/>
      </c>
      <c r="E405" s="53"/>
      <c r="F405" s="53"/>
      <c r="G405" s="53"/>
      <c r="H405" s="52" t="s">
        <v>19</v>
      </c>
      <c r="I405" s="52" t="s">
        <v>19</v>
      </c>
      <c r="J405" s="52" t="s">
        <v>19</v>
      </c>
      <c r="K405" s="52" t="str">
        <f t="shared" si="31"/>
        <v>International</v>
      </c>
      <c r="M405" s="55"/>
    </row>
    <row r="406">
      <c r="A406" s="29"/>
      <c r="B406" s="50" t="str">
        <f>IFERROR(__xludf.DUMMYFUNCTION("""COMPUTED_VALUE"""),"0 - 9 [GENEPIO:0100049]                    ")</f>
        <v>0 - 9 [GENEPIO:0100049]                    </v>
      </c>
      <c r="C406" s="29" t="str">
        <f>IFERROR(__xludf.DUMMYFUNCTION("""COMPUTED_VALUE"""),"GENEPIO:0100049")</f>
        <v>GENEPIO:0100049</v>
      </c>
      <c r="D406" s="29" t="str">
        <f>IFERROR(__xludf.DUMMYFUNCTION("""COMPUTED_VALUE"""),"An age group that stratifies the age of a case to be between 0 to 9 years old (inclusive).")</f>
        <v>An age group that stratifies the age of a case to be between 0 to 9 years old (inclusive).</v>
      </c>
      <c r="E406" s="29"/>
      <c r="F406" s="29"/>
      <c r="G406" s="29"/>
      <c r="H406" s="54" t="s">
        <v>19</v>
      </c>
      <c r="I406" s="54" t="s">
        <v>19</v>
      </c>
      <c r="J406" s="54" t="s">
        <v>19</v>
      </c>
      <c r="K406" s="52" t="str">
        <f t="shared" si="31"/>
        <v>International</v>
      </c>
      <c r="M406" s="55"/>
    </row>
    <row r="407">
      <c r="A407" s="29"/>
      <c r="B407" s="50" t="str">
        <f>IFERROR(__xludf.DUMMYFUNCTION("""COMPUTED_VALUE"""),"10 - 19 [GENEPIO:0100050]                    ")</f>
        <v>10 - 19 [GENEPIO:0100050]                    </v>
      </c>
      <c r="C407" s="29" t="str">
        <f>IFERROR(__xludf.DUMMYFUNCTION("""COMPUTED_VALUE"""),"GENEPIO:0100050")</f>
        <v>GENEPIO:0100050</v>
      </c>
      <c r="D407" s="29" t="str">
        <f>IFERROR(__xludf.DUMMYFUNCTION("""COMPUTED_VALUE"""),"An age group that stratifies the age of a case to be between 10 to 19 years old (inclusive).")</f>
        <v>An age group that stratifies the age of a case to be between 10 to 19 years old (inclusive).</v>
      </c>
      <c r="E407" s="29"/>
      <c r="F407" s="29"/>
      <c r="G407" s="29"/>
      <c r="H407" s="54" t="s">
        <v>19</v>
      </c>
      <c r="I407" s="54" t="s">
        <v>19</v>
      </c>
      <c r="J407" s="54" t="s">
        <v>19</v>
      </c>
      <c r="K407" s="52" t="str">
        <f t="shared" si="31"/>
        <v>International</v>
      </c>
      <c r="M407" s="55"/>
    </row>
    <row r="408">
      <c r="A408" s="29"/>
      <c r="B408" s="50" t="str">
        <f>IFERROR(__xludf.DUMMYFUNCTION("""COMPUTED_VALUE"""),"20 - 29 [GENEPIO:0100051]                    ")</f>
        <v>20 - 29 [GENEPIO:0100051]                    </v>
      </c>
      <c r="C408" s="29" t="str">
        <f>IFERROR(__xludf.DUMMYFUNCTION("""COMPUTED_VALUE"""),"GENEPIO:0100051")</f>
        <v>GENEPIO:0100051</v>
      </c>
      <c r="D408" s="29" t="str">
        <f>IFERROR(__xludf.DUMMYFUNCTION("""COMPUTED_VALUE"""),"An age group that stratifies the age of a case to be between 20 to 29 years old (inclusive).")</f>
        <v>An age group that stratifies the age of a case to be between 20 to 29 years old (inclusive).</v>
      </c>
      <c r="E408" s="29"/>
      <c r="F408" s="29"/>
      <c r="G408" s="29"/>
      <c r="H408" s="54" t="s">
        <v>19</v>
      </c>
      <c r="I408" s="54" t="s">
        <v>19</v>
      </c>
      <c r="J408" s="54" t="s">
        <v>19</v>
      </c>
      <c r="K408" s="52" t="str">
        <f t="shared" si="31"/>
        <v>International</v>
      </c>
      <c r="M408" s="55"/>
    </row>
    <row r="409">
      <c r="A409" s="29"/>
      <c r="B409" s="50" t="str">
        <f>IFERROR(__xludf.DUMMYFUNCTION("""COMPUTED_VALUE"""),"30 - 39 [GENEPIO:0100052]                    ")</f>
        <v>30 - 39 [GENEPIO:0100052]                    </v>
      </c>
      <c r="C409" s="29" t="str">
        <f>IFERROR(__xludf.DUMMYFUNCTION("""COMPUTED_VALUE"""),"GENEPIO:0100052")</f>
        <v>GENEPIO:0100052</v>
      </c>
      <c r="D409" s="29" t="str">
        <f>IFERROR(__xludf.DUMMYFUNCTION("""COMPUTED_VALUE"""),"An age group that stratifies the age of a case to be between 30 to 39 years old (inclusive).")</f>
        <v>An age group that stratifies the age of a case to be between 30 to 39 years old (inclusive).</v>
      </c>
      <c r="E409" s="29"/>
      <c r="F409" s="29"/>
      <c r="G409" s="29"/>
      <c r="H409" s="54" t="s">
        <v>19</v>
      </c>
      <c r="I409" s="54" t="s">
        <v>19</v>
      </c>
      <c r="J409" s="54" t="s">
        <v>19</v>
      </c>
      <c r="K409" s="52" t="str">
        <f t="shared" si="31"/>
        <v>International</v>
      </c>
    </row>
    <row r="410">
      <c r="A410" s="29"/>
      <c r="B410" s="50" t="str">
        <f>IFERROR(__xludf.DUMMYFUNCTION("""COMPUTED_VALUE"""),"40 - 49 [GENEPIO:0100053]                    ")</f>
        <v>40 - 49 [GENEPIO:0100053]                    </v>
      </c>
      <c r="C410" s="29" t="str">
        <f>IFERROR(__xludf.DUMMYFUNCTION("""COMPUTED_VALUE"""),"GENEPIO:0100053")</f>
        <v>GENEPIO:0100053</v>
      </c>
      <c r="D410" s="29" t="str">
        <f>IFERROR(__xludf.DUMMYFUNCTION("""COMPUTED_VALUE"""),"An age group that stratifies the age of a case to be between 40 to 49 years old (inclusive).")</f>
        <v>An age group that stratifies the age of a case to be between 40 to 49 years old (inclusive).</v>
      </c>
      <c r="E410" s="29"/>
      <c r="F410" s="29"/>
      <c r="G410" s="29"/>
      <c r="H410" s="54" t="s">
        <v>19</v>
      </c>
      <c r="I410" s="54" t="s">
        <v>19</v>
      </c>
      <c r="J410" s="54" t="s">
        <v>19</v>
      </c>
      <c r="K410" s="52" t="str">
        <f t="shared" si="31"/>
        <v>International</v>
      </c>
      <c r="M410" s="56"/>
    </row>
    <row r="411">
      <c r="A411" s="29"/>
      <c r="B411" s="50" t="str">
        <f>IFERROR(__xludf.DUMMYFUNCTION("""COMPUTED_VALUE"""),"50 - 59 [GENEPIO:0100054]                    ")</f>
        <v>50 - 59 [GENEPIO:0100054]                    </v>
      </c>
      <c r="C411" s="29" t="str">
        <f>IFERROR(__xludf.DUMMYFUNCTION("""COMPUTED_VALUE"""),"GENEPIO:0100054")</f>
        <v>GENEPIO:0100054</v>
      </c>
      <c r="D411" s="29" t="str">
        <f>IFERROR(__xludf.DUMMYFUNCTION("""COMPUTED_VALUE"""),"An age group that stratifies the age of a case to be between 50 to 59 years old (inclusive).")</f>
        <v>An age group that stratifies the age of a case to be between 50 to 59 years old (inclusive).</v>
      </c>
      <c r="E411" s="29"/>
      <c r="F411" s="29"/>
      <c r="G411" s="29"/>
      <c r="H411" s="54" t="s">
        <v>19</v>
      </c>
      <c r="I411" s="54" t="s">
        <v>19</v>
      </c>
      <c r="J411" s="54" t="s">
        <v>19</v>
      </c>
      <c r="K411" s="52" t="str">
        <f t="shared" si="31"/>
        <v>International</v>
      </c>
      <c r="M411" s="55"/>
    </row>
    <row r="412">
      <c r="A412" s="29"/>
      <c r="B412" s="50" t="str">
        <f>IFERROR(__xludf.DUMMYFUNCTION("""COMPUTED_VALUE"""),"60 - 69 [GENEPIO:0100055]                    ")</f>
        <v>60 - 69 [GENEPIO:0100055]                    </v>
      </c>
      <c r="C412" s="29" t="str">
        <f>IFERROR(__xludf.DUMMYFUNCTION("""COMPUTED_VALUE"""),"GENEPIO:0100055")</f>
        <v>GENEPIO:0100055</v>
      </c>
      <c r="D412" s="29" t="str">
        <f>IFERROR(__xludf.DUMMYFUNCTION("""COMPUTED_VALUE"""),"An age group that stratifies the age of a case to be between 60 to 69 years old (inclusive).")</f>
        <v>An age group that stratifies the age of a case to be between 60 to 69 years old (inclusive).</v>
      </c>
      <c r="E412" s="29"/>
      <c r="F412" s="29"/>
      <c r="G412" s="29"/>
      <c r="H412" s="54" t="s">
        <v>19</v>
      </c>
      <c r="I412" s="54" t="s">
        <v>19</v>
      </c>
      <c r="J412" s="54" t="s">
        <v>19</v>
      </c>
      <c r="K412" s="52" t="str">
        <f t="shared" si="31"/>
        <v>International</v>
      </c>
      <c r="M412" s="55"/>
    </row>
    <row r="413">
      <c r="A413" s="29"/>
      <c r="B413" s="50" t="str">
        <f>IFERROR(__xludf.DUMMYFUNCTION("""COMPUTED_VALUE"""),"70 - 79 [GENEPIO:0100056]                    ")</f>
        <v>70 - 79 [GENEPIO:0100056]                    </v>
      </c>
      <c r="C413" s="29" t="str">
        <f>IFERROR(__xludf.DUMMYFUNCTION("""COMPUTED_VALUE"""),"GENEPIO:0100056")</f>
        <v>GENEPIO:0100056</v>
      </c>
      <c r="D413" s="29" t="str">
        <f>IFERROR(__xludf.DUMMYFUNCTION("""COMPUTED_VALUE"""),"An age group that stratifies the age of a case to be between 70 to 79 years old (inclusive).")</f>
        <v>An age group that stratifies the age of a case to be between 70 to 79 years old (inclusive).</v>
      </c>
      <c r="E413" s="29"/>
      <c r="F413" s="29"/>
      <c r="G413" s="29"/>
      <c r="H413" s="54" t="s">
        <v>19</v>
      </c>
      <c r="I413" s="54" t="s">
        <v>19</v>
      </c>
      <c r="J413" s="54" t="s">
        <v>19</v>
      </c>
      <c r="K413" s="52" t="str">
        <f t="shared" si="31"/>
        <v>International</v>
      </c>
      <c r="M413" s="55"/>
    </row>
    <row r="414">
      <c r="A414" s="53"/>
      <c r="B414" s="50" t="str">
        <f>IFERROR(__xludf.DUMMYFUNCTION("""COMPUTED_VALUE"""),"80 - 89 [GENEPIO:0100057]                    ")</f>
        <v>80 - 89 [GENEPIO:0100057]                    </v>
      </c>
      <c r="C414" s="53" t="str">
        <f>IFERROR(__xludf.DUMMYFUNCTION("""COMPUTED_VALUE"""),"GENEPIO:0100057")</f>
        <v>GENEPIO:0100057</v>
      </c>
      <c r="D414" s="29" t="str">
        <f>IFERROR(__xludf.DUMMYFUNCTION("""COMPUTED_VALUE"""),"An age group that stratifies the age of a case to be between 80 to 89 years old (inclusive).")</f>
        <v>An age group that stratifies the age of a case to be between 80 to 89 years old (inclusive).</v>
      </c>
      <c r="H414" s="54" t="s">
        <v>19</v>
      </c>
      <c r="I414" s="54" t="s">
        <v>19</v>
      </c>
      <c r="J414" s="54" t="s">
        <v>19</v>
      </c>
      <c r="K414" s="52" t="str">
        <f t="shared" si="31"/>
        <v>International</v>
      </c>
      <c r="M414" s="55"/>
    </row>
    <row r="415">
      <c r="A415" s="53"/>
      <c r="B415" s="50" t="str">
        <f>IFERROR(__xludf.DUMMYFUNCTION("""COMPUTED_VALUE"""),"90 - 99 [GENEPIO:0100058]                    ")</f>
        <v>90 - 99 [GENEPIO:0100058]                    </v>
      </c>
      <c r="C415" s="53" t="str">
        <f>IFERROR(__xludf.DUMMYFUNCTION("""COMPUTED_VALUE"""),"GENEPIO:0100058")</f>
        <v>GENEPIO:0100058</v>
      </c>
      <c r="D415" s="29" t="str">
        <f>IFERROR(__xludf.DUMMYFUNCTION("""COMPUTED_VALUE"""),"An age group that stratifies the age of a case to be between 90 to 99 years old (inclusive).")</f>
        <v>An age group that stratifies the age of a case to be between 90 to 99 years old (inclusive).</v>
      </c>
      <c r="H415" s="52"/>
      <c r="I415" s="52"/>
      <c r="J415" s="52"/>
      <c r="K415" s="53" t="s">
        <v>29</v>
      </c>
      <c r="L415" s="53" t="str">
        <f>LEFT(A415, LEN(A415) - 5)
</f>
        <v>#VALUE!</v>
      </c>
      <c r="M415" s="60" t="s">
        <v>29</v>
      </c>
    </row>
    <row r="416">
      <c r="A416" s="53"/>
      <c r="B416" s="50" t="str">
        <f>IFERROR(__xludf.DUMMYFUNCTION("""COMPUTED_VALUE"""),"100+ [GENEPIO:0100059]                    ")</f>
        <v>100+ [GENEPIO:0100059]                    </v>
      </c>
      <c r="C416" s="53" t="str">
        <f>IFERROR(__xludf.DUMMYFUNCTION("""COMPUTED_VALUE"""),"GENEPIO:0100059")</f>
        <v>GENEPIO:0100059</v>
      </c>
      <c r="D416" s="29" t="str">
        <f>IFERROR(__xludf.DUMMYFUNCTION("""COMPUTED_VALUE"""),"An age group that stratifies the age of a case to be greater than or equal to 100 years old.")</f>
        <v>An age group that stratifies the age of a case to be greater than or equal to 100 years old.</v>
      </c>
      <c r="H416" s="54" t="s">
        <v>19</v>
      </c>
      <c r="I416" s="54" t="s">
        <v>19</v>
      </c>
      <c r="J416" s="54" t="s">
        <v>19</v>
      </c>
      <c r="K416" s="52" t="str">
        <f t="shared" ref="K416:K421" si="32">K415</f>
        <v>Mpox</v>
      </c>
    </row>
    <row r="417">
      <c r="A417" s="53" t="str">
        <f>IFERROR(__xludf.DUMMYFUNCTION("""COMPUTED_VALUE"""),"host gender menu")</f>
        <v>host gender menu</v>
      </c>
      <c r="B417" s="50" t="str">
        <f>IFERROR(__xludf.DUMMYFUNCTION("""COMPUTED_VALUE"""),"                    ")</f>
        <v>                    </v>
      </c>
      <c r="C417" s="53"/>
      <c r="D417" s="29" t="str">
        <f>IFERROR(__xludf.DUMMYFUNCTION("""COMPUTED_VALUE"""),"")</f>
        <v/>
      </c>
      <c r="E417" s="53"/>
      <c r="F417" s="53"/>
      <c r="G417" s="53"/>
      <c r="H417" s="52" t="s">
        <v>19</v>
      </c>
      <c r="I417" s="52" t="s">
        <v>19</v>
      </c>
      <c r="J417" s="52" t="s">
        <v>19</v>
      </c>
      <c r="K417" s="52" t="str">
        <f t="shared" si="32"/>
        <v>Mpox</v>
      </c>
      <c r="M417" s="56"/>
    </row>
    <row r="418">
      <c r="A418" s="53"/>
      <c r="B418" s="50" t="str">
        <f>IFERROR(__xludf.DUMMYFUNCTION("""COMPUTED_VALUE"""),"Female                    ")</f>
        <v>Female                    </v>
      </c>
      <c r="C418" s="53" t="str">
        <f>IFERROR(__xludf.DUMMYFUNCTION("""COMPUTED_VALUE"""),"NCIT:C46110")</f>
        <v>NCIT:C46110</v>
      </c>
      <c r="D418" s="29" t="str">
        <f>IFERROR(__xludf.DUMMYFUNCTION("""COMPUTED_VALUE"""),"An individual who reports belonging to the cultural gender role distinction of female.")</f>
        <v>An individual who reports belonging to the cultural gender role distinction of female.</v>
      </c>
      <c r="H418" s="52" t="s">
        <v>19</v>
      </c>
      <c r="I418" s="52" t="s">
        <v>19</v>
      </c>
      <c r="J418" s="52" t="s">
        <v>19</v>
      </c>
      <c r="K418" s="52" t="str">
        <f t="shared" si="32"/>
        <v>Mpox</v>
      </c>
      <c r="M418" s="55"/>
    </row>
    <row r="419">
      <c r="A419" s="53"/>
      <c r="B419" s="50" t="str">
        <f>IFERROR(__xludf.DUMMYFUNCTION("""COMPUTED_VALUE"""),"Male                    ")</f>
        <v>Male                    </v>
      </c>
      <c r="C419" s="53" t="str">
        <f>IFERROR(__xludf.DUMMYFUNCTION("""COMPUTED_VALUE"""),"NCIT:C46109")</f>
        <v>NCIT:C46109</v>
      </c>
      <c r="D419" s="29" t="str">
        <f>IFERROR(__xludf.DUMMYFUNCTION("""COMPUTED_VALUE"""),"An individual who reports belonging to the cultural gender role distinction of male.")</f>
        <v>An individual who reports belonging to the cultural gender role distinction of male.</v>
      </c>
      <c r="H419" s="52" t="s">
        <v>19</v>
      </c>
      <c r="I419" s="52" t="s">
        <v>19</v>
      </c>
      <c r="J419" s="52" t="s">
        <v>19</v>
      </c>
      <c r="K419" s="52" t="str">
        <f t="shared" si="32"/>
        <v>Mpox</v>
      </c>
      <c r="M419" s="55"/>
    </row>
    <row r="420">
      <c r="A420" s="53"/>
      <c r="B420" s="50" t="str">
        <f>IFERROR(__xludf.DUMMYFUNCTION("""COMPUTED_VALUE"""),"Non-binary gender                    ")</f>
        <v>Non-binary gender                    </v>
      </c>
      <c r="C420" s="53" t="str">
        <f>IFERROR(__xludf.DUMMYFUNCTION("""COMPUTED_VALUE"""),"GSSO:000132")</f>
        <v>GSSO:000132</v>
      </c>
      <c r="D420"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20" s="52" t="s">
        <v>19</v>
      </c>
      <c r="I420" s="52" t="s">
        <v>19</v>
      </c>
      <c r="J420" s="52" t="s">
        <v>19</v>
      </c>
      <c r="K420" s="52" t="str">
        <f t="shared" si="32"/>
        <v>Mpox</v>
      </c>
      <c r="M420" s="55"/>
    </row>
    <row r="421">
      <c r="A421" s="53"/>
      <c r="B421" s="50" t="str">
        <f>IFERROR(__xludf.DUMMYFUNCTION("""COMPUTED_VALUE"""),"Transgender (assigned male at birth)                    ")</f>
        <v>Transgender (assigned male at birth)                    </v>
      </c>
      <c r="C421" s="53" t="str">
        <f>IFERROR(__xludf.DUMMYFUNCTION("""COMPUTED_VALUE"""),"GSSO:004004")</f>
        <v>GSSO:004004</v>
      </c>
      <c r="D421" s="29" t="str">
        <f>IFERROR(__xludf.DUMMYFUNCTION("""COMPUTED_VALUE"""),"Having a feminine gender (identity) which is different from the sex one was assigned at birth.")</f>
        <v>Having a feminine gender (identity) which is different from the sex one was assigned at birth.</v>
      </c>
      <c r="H421" s="52" t="s">
        <v>19</v>
      </c>
      <c r="I421" s="52" t="s">
        <v>19</v>
      </c>
      <c r="J421" s="52" t="s">
        <v>19</v>
      </c>
      <c r="K421" s="52" t="str">
        <f t="shared" si="32"/>
        <v>Mpox</v>
      </c>
      <c r="M421" s="55"/>
    </row>
    <row r="422">
      <c r="A422" s="53"/>
      <c r="B422" s="50" t="str">
        <f>IFERROR(__xludf.DUMMYFUNCTION("""COMPUTED_VALUE"""),"Transgender (assigned female at birth)                    ")</f>
        <v>Transgender (assigned female at birth)                    </v>
      </c>
      <c r="C422" s="53" t="str">
        <f>IFERROR(__xludf.DUMMYFUNCTION("""COMPUTED_VALUE"""),"GSSO:004005")</f>
        <v>GSSO:004005</v>
      </c>
      <c r="D422" s="29" t="str">
        <f>IFERROR(__xludf.DUMMYFUNCTION("""COMPUTED_VALUE"""),"Having a masculine gender (identity) which is different from the sex one was assigned at birth.")</f>
        <v>Having a masculine gender (identity) which is different from the sex one was assigned at birth.</v>
      </c>
      <c r="H422" s="52"/>
      <c r="I422" s="52"/>
      <c r="J422" s="52"/>
      <c r="K422" s="53" t="s">
        <v>31</v>
      </c>
      <c r="L422" s="29" t="str">
        <f>LEFT(A422, LEN(A422) - 5)
</f>
        <v>#VALUE!</v>
      </c>
      <c r="M422" s="58" t="s">
        <v>32</v>
      </c>
    </row>
    <row r="423">
      <c r="A423" s="53"/>
      <c r="B423" s="50" t="str">
        <f>IFERROR(__xludf.DUMMYFUNCTION("""COMPUTED_VALUE"""),"Undeclared                    ")</f>
        <v>Undeclared                    </v>
      </c>
      <c r="C423" s="53" t="str">
        <f>IFERROR(__xludf.DUMMYFUNCTION("""COMPUTED_VALUE"""),"NCIT:C110959")</f>
        <v>NCIT:C110959</v>
      </c>
      <c r="D423"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3" s="52" t="s">
        <v>19</v>
      </c>
      <c r="I423" s="52" t="s">
        <v>19</v>
      </c>
      <c r="J423" s="52" t="s">
        <v>19</v>
      </c>
      <c r="K423" s="52" t="str">
        <f t="shared" ref="K423:K429" si="33">K422</f>
        <v>International</v>
      </c>
      <c r="M423" s="57"/>
    </row>
    <row r="424">
      <c r="A424" s="53" t="str">
        <f>IFERROR(__xludf.DUMMYFUNCTION("""COMPUTED_VALUE"""),"host gender international menu")</f>
        <v>host gender international menu</v>
      </c>
      <c r="B424" s="50" t="str">
        <f>IFERROR(__xludf.DUMMYFUNCTION("""COMPUTED_VALUE"""),"                    ")</f>
        <v>                    </v>
      </c>
      <c r="C424" s="53"/>
      <c r="D424" s="29" t="str">
        <f>IFERROR(__xludf.DUMMYFUNCTION("""COMPUTED_VALUE"""),"")</f>
        <v/>
      </c>
      <c r="E424" s="53"/>
      <c r="F424" s="53"/>
      <c r="G424" s="53"/>
      <c r="H424" s="54" t="s">
        <v>19</v>
      </c>
      <c r="I424" s="54" t="s">
        <v>19</v>
      </c>
      <c r="J424" s="54" t="s">
        <v>19</v>
      </c>
      <c r="K424" s="52" t="str">
        <f t="shared" si="33"/>
        <v>International</v>
      </c>
    </row>
    <row r="425">
      <c r="A425" s="53"/>
      <c r="B425" s="50" t="str">
        <f>IFERROR(__xludf.DUMMYFUNCTION("""COMPUTED_VALUE"""),"Female [NCIT:C46110]                    ")</f>
        <v>Female [NCIT:C46110]                    </v>
      </c>
      <c r="C425" s="53" t="str">
        <f>IFERROR(__xludf.DUMMYFUNCTION("""COMPUTED_VALUE"""),"NCIT:C46110")</f>
        <v>NCIT:C46110</v>
      </c>
      <c r="D425" s="29" t="str">
        <f>IFERROR(__xludf.DUMMYFUNCTION("""COMPUTED_VALUE"""),"An individual who reports belonging to the cultural gender role distinction of female.")</f>
        <v>An individual who reports belonging to the cultural gender role distinction of female.</v>
      </c>
      <c r="H425" s="52" t="s">
        <v>19</v>
      </c>
      <c r="I425" s="52" t="s">
        <v>19</v>
      </c>
      <c r="J425" s="52" t="s">
        <v>19</v>
      </c>
      <c r="K425" s="52" t="str">
        <f t="shared" si="33"/>
        <v>International</v>
      </c>
      <c r="M425" s="56"/>
    </row>
    <row r="426">
      <c r="A426" s="53"/>
      <c r="B426" s="50" t="str">
        <f>IFERROR(__xludf.DUMMYFUNCTION("""COMPUTED_VALUE"""),"Male [NCIT:C46109]                    ")</f>
        <v>Male [NCIT:C46109]                    </v>
      </c>
      <c r="C426" s="53" t="str">
        <f>IFERROR(__xludf.DUMMYFUNCTION("""COMPUTED_VALUE"""),"NCIT:C46109")</f>
        <v>NCIT:C46109</v>
      </c>
      <c r="D426" s="29" t="str">
        <f>IFERROR(__xludf.DUMMYFUNCTION("""COMPUTED_VALUE"""),"An individual who reports belonging to the cultural gender role distinction of male.")</f>
        <v>An individual who reports belonging to the cultural gender role distinction of male.</v>
      </c>
      <c r="H426" s="52" t="s">
        <v>19</v>
      </c>
      <c r="I426" s="52" t="s">
        <v>19</v>
      </c>
      <c r="J426" s="52" t="s">
        <v>19</v>
      </c>
      <c r="K426" s="52" t="str">
        <f t="shared" si="33"/>
        <v>International</v>
      </c>
      <c r="M426" s="55"/>
    </row>
    <row r="427">
      <c r="A427" s="53"/>
      <c r="B427" s="50" t="str">
        <f>IFERROR(__xludf.DUMMYFUNCTION("""COMPUTED_VALUE"""),"Non-binary gender [GSSO:000132]                    ")</f>
        <v>Non-binary gender [GSSO:000132]                    </v>
      </c>
      <c r="C427" s="53" t="str">
        <f>IFERROR(__xludf.DUMMYFUNCTION("""COMPUTED_VALUE"""),"GSSO:000132")</f>
        <v>GSSO:000132</v>
      </c>
      <c r="D427"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27" s="52" t="s">
        <v>19</v>
      </c>
      <c r="I427" s="52" t="s">
        <v>19</v>
      </c>
      <c r="J427" s="52" t="s">
        <v>19</v>
      </c>
      <c r="K427" s="52" t="str">
        <f t="shared" si="33"/>
        <v>International</v>
      </c>
      <c r="M427" s="55"/>
    </row>
    <row r="428">
      <c r="A428" s="53"/>
      <c r="B428" s="50" t="str">
        <f>IFERROR(__xludf.DUMMYFUNCTION("""COMPUTED_VALUE"""),"Transgender (assigned male at birth) [GSSO:004004]                    ")</f>
        <v>Transgender (assigned male at birth) [GSSO:004004]                    </v>
      </c>
      <c r="C428" s="53" t="str">
        <f>IFERROR(__xludf.DUMMYFUNCTION("""COMPUTED_VALUE"""),"GSSO:004004")</f>
        <v>GSSO:004004</v>
      </c>
      <c r="D428" s="29" t="str">
        <f>IFERROR(__xludf.DUMMYFUNCTION("""COMPUTED_VALUE"""),"Having a feminine gender (identity) which is different from the sex one was assigned at birth.")</f>
        <v>Having a feminine gender (identity) which is different from the sex one was assigned at birth.</v>
      </c>
      <c r="H428" s="52" t="s">
        <v>19</v>
      </c>
      <c r="I428" s="52" t="s">
        <v>19</v>
      </c>
      <c r="J428" s="52" t="s">
        <v>19</v>
      </c>
      <c r="K428" s="52" t="str">
        <f t="shared" si="33"/>
        <v>International</v>
      </c>
      <c r="M428" s="55"/>
    </row>
    <row r="429">
      <c r="A429" s="53"/>
      <c r="B429" s="50" t="str">
        <f>IFERROR(__xludf.DUMMYFUNCTION("""COMPUTED_VALUE"""),"Transgender (assigned female at birth) [GSSO:004005]                    ")</f>
        <v>Transgender (assigned female at birth) [GSSO:004005]                    </v>
      </c>
      <c r="C429" s="53" t="str">
        <f>IFERROR(__xludf.DUMMYFUNCTION("""COMPUTED_VALUE"""),"GSSO:004005")</f>
        <v>GSSO:004005</v>
      </c>
      <c r="D429" s="29" t="str">
        <f>IFERROR(__xludf.DUMMYFUNCTION("""COMPUTED_VALUE"""),"Having a masculine gender (identity) which is different from the sex one was assigned at birth.")</f>
        <v>Having a masculine gender (identity) which is different from the sex one was assigned at birth.</v>
      </c>
      <c r="H429" s="52" t="s">
        <v>19</v>
      </c>
      <c r="I429" s="52" t="s">
        <v>19</v>
      </c>
      <c r="J429" s="52" t="s">
        <v>19</v>
      </c>
      <c r="K429" s="52" t="str">
        <f t="shared" si="33"/>
        <v>International</v>
      </c>
      <c r="M429" s="55"/>
    </row>
    <row r="430">
      <c r="A430" s="53"/>
      <c r="B430" s="50" t="str">
        <f>IFERROR(__xludf.DUMMYFUNCTION("""COMPUTED_VALUE"""),"Undeclared [NCIT:C110959]                    ")</f>
        <v>Undeclared [NCIT:C110959]                    </v>
      </c>
      <c r="C430" s="53" t="str">
        <f>IFERROR(__xludf.DUMMYFUNCTION("""COMPUTED_VALUE"""),"NCIT:C110959")</f>
        <v>NCIT:C110959</v>
      </c>
      <c r="D430"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30" s="52"/>
      <c r="I430" s="52"/>
      <c r="J430" s="52"/>
      <c r="K430" s="53" t="s">
        <v>29</v>
      </c>
      <c r="L430" s="53" t="str">
        <f>LEFT(A430, LEN(A430) - 5)
</f>
        <v>#VALUE!</v>
      </c>
      <c r="M430" s="60" t="s">
        <v>29</v>
      </c>
    </row>
    <row r="431">
      <c r="A431" s="53"/>
      <c r="B431" s="50" t="str">
        <f>IFERROR(__xludf.DUMMYFUNCTION("""COMPUTED_VALUE"""),"                    ")</f>
        <v>                    </v>
      </c>
      <c r="C431" s="53"/>
      <c r="D431" s="29" t="str">
        <f>IFERROR(__xludf.DUMMYFUNCTION("""COMPUTED_VALUE"""),"")</f>
        <v/>
      </c>
      <c r="H431" s="52" t="s">
        <v>19</v>
      </c>
      <c r="I431" s="52" t="s">
        <v>19</v>
      </c>
      <c r="J431" s="52" t="s">
        <v>19</v>
      </c>
      <c r="K431" s="52" t="str">
        <f t="shared" ref="K431:K452" si="34">K430</f>
        <v>Mpox</v>
      </c>
      <c r="M431" s="55"/>
    </row>
    <row r="432">
      <c r="A432" s="53" t="str">
        <f>IFERROR(__xludf.DUMMYFUNCTION("""COMPUTED_VALUE"""),"signs and symptoms menu")</f>
        <v>signs and symptoms menu</v>
      </c>
      <c r="B432" s="50" t="str">
        <f>IFERROR(__xludf.DUMMYFUNCTION("""COMPUTED_VALUE"""),"                    ")</f>
        <v>                    </v>
      </c>
      <c r="C432" s="53"/>
      <c r="D432" s="29" t="str">
        <f>IFERROR(__xludf.DUMMYFUNCTION("""COMPUTED_VALUE"""),"")</f>
        <v/>
      </c>
      <c r="E432" s="53"/>
      <c r="F432" s="53"/>
      <c r="G432" s="53"/>
      <c r="H432" s="52" t="s">
        <v>19</v>
      </c>
      <c r="I432" s="52" t="s">
        <v>19</v>
      </c>
      <c r="J432" s="52" t="s">
        <v>19</v>
      </c>
      <c r="K432" s="52" t="str">
        <f t="shared" si="34"/>
        <v>Mpox</v>
      </c>
      <c r="M432" s="55"/>
    </row>
    <row r="433">
      <c r="A433" s="53"/>
      <c r="B433" s="50" t="str">
        <f>IFERROR(__xludf.DUMMYFUNCTION("""COMPUTED_VALUE"""),"Chills (sudden cold sensation)                    ")</f>
        <v>Chills (sudden cold sensation)                    </v>
      </c>
      <c r="C433" s="53" t="str">
        <f>IFERROR(__xludf.DUMMYFUNCTION("""COMPUTED_VALUE"""),"HP:0025143")</f>
        <v>HP:0025143</v>
      </c>
      <c r="D433" s="29" t="str">
        <f>IFERROR(__xludf.DUMMYFUNCTION("""COMPUTED_VALUE"""),"A sudden sensation of feeling cold.")</f>
        <v>A sudden sensation of feeling cold.</v>
      </c>
      <c r="H433" s="52" t="s">
        <v>19</v>
      </c>
      <c r="I433" s="52" t="s">
        <v>19</v>
      </c>
      <c r="J433" s="52" t="s">
        <v>19</v>
      </c>
      <c r="K433" s="52" t="str">
        <f t="shared" si="34"/>
        <v>Mpox</v>
      </c>
      <c r="M433" s="55"/>
    </row>
    <row r="434">
      <c r="A434" s="53"/>
      <c r="B434" s="50" t="str">
        <f>IFERROR(__xludf.DUMMYFUNCTION("""COMPUTED_VALUE"""),"Conjunctivitis (pink eye)                    ")</f>
        <v>Conjunctivitis (pink eye)                    </v>
      </c>
      <c r="C434" s="53" t="str">
        <f>IFERROR(__xludf.DUMMYFUNCTION("""COMPUTED_VALUE"""),"HP:0000509")</f>
        <v>HP:0000509</v>
      </c>
      <c r="D434" s="29" t="str">
        <f>IFERROR(__xludf.DUMMYFUNCTION("""COMPUTED_VALUE"""),"Inflammation of the conjunctiva.")</f>
        <v>Inflammation of the conjunctiva.</v>
      </c>
      <c r="H434" s="52" t="s">
        <v>19</v>
      </c>
      <c r="I434" s="52" t="s">
        <v>19</v>
      </c>
      <c r="J434" s="52" t="s">
        <v>19</v>
      </c>
      <c r="K434" s="52" t="str">
        <f t="shared" si="34"/>
        <v>Mpox</v>
      </c>
      <c r="M434" s="55"/>
    </row>
    <row r="435">
      <c r="A435" s="53"/>
      <c r="B435" s="50" t="str">
        <f>IFERROR(__xludf.DUMMYFUNCTION("""COMPUTED_VALUE"""),"Cough                    ")</f>
        <v>Cough                    </v>
      </c>
      <c r="C435" s="53" t="str">
        <f>IFERROR(__xludf.DUMMYFUNCTION("""COMPUTED_VALUE"""),"HP:0012735")</f>
        <v>HP:0012735</v>
      </c>
      <c r="D435" s="29" t="str">
        <f>IFERROR(__xludf.DUMMYFUNCTION("""COMPUTED_VALUE"""),"A sudden, audible expulsion of air from the lungs through a partially closed glottis, preceded by inhalation.")</f>
        <v>A sudden, audible expulsion of air from the lungs through a partially closed glottis, preceded by inhalation.</v>
      </c>
      <c r="H435" s="52" t="s">
        <v>19</v>
      </c>
      <c r="I435" s="52" t="s">
        <v>19</v>
      </c>
      <c r="J435" s="52" t="s">
        <v>19</v>
      </c>
      <c r="K435" s="52" t="str">
        <f t="shared" si="34"/>
        <v>Mpox</v>
      </c>
      <c r="M435" s="55"/>
    </row>
    <row r="436">
      <c r="A436" s="29"/>
      <c r="B436" s="50" t="str">
        <f>IFERROR(__xludf.DUMMYFUNCTION("""COMPUTED_VALUE"""),"Fatigue (tiredness)                    ")</f>
        <v>Fatigue (tiredness)                    </v>
      </c>
      <c r="C436" s="29" t="str">
        <f>IFERROR(__xludf.DUMMYFUNCTION("""COMPUTED_VALUE"""),"HP:0012378")</f>
        <v>HP:0012378</v>
      </c>
      <c r="D436" s="29" t="str">
        <f>IFERROR(__xludf.DUMMYFUNCTION("""COMPUTED_VALUE"""),"A subjective feeling of tiredness characterized by a lack of energy and motivation.")</f>
        <v>A subjective feeling of tiredness characterized by a lack of energy and motivation.</v>
      </c>
      <c r="E436" s="29"/>
      <c r="F436" s="29"/>
      <c r="G436" s="29"/>
      <c r="H436" s="54" t="s">
        <v>19</v>
      </c>
      <c r="I436" s="54" t="s">
        <v>19</v>
      </c>
      <c r="J436" s="54" t="s">
        <v>19</v>
      </c>
      <c r="K436" s="52" t="str">
        <f t="shared" si="34"/>
        <v>Mpox</v>
      </c>
      <c r="M436" s="55"/>
    </row>
    <row r="437">
      <c r="A437" s="29"/>
      <c r="B437" s="50" t="str">
        <f>IFERROR(__xludf.DUMMYFUNCTION("""COMPUTED_VALUE"""),"Fever                    ")</f>
        <v>Fever                    </v>
      </c>
      <c r="C437" s="29" t="str">
        <f>IFERROR(__xludf.DUMMYFUNCTION("""COMPUTED_VALUE"""),"HP:0001945")</f>
        <v>HP:0001945</v>
      </c>
      <c r="D437" s="29" t="str">
        <f>IFERROR(__xludf.DUMMYFUNCTION("""COMPUTED_VALUE"""),"Body temperature elevated above the normal range.")</f>
        <v>Body temperature elevated above the normal range.</v>
      </c>
      <c r="E437" s="29"/>
      <c r="F437" s="29"/>
      <c r="G437" s="29"/>
      <c r="H437" s="54" t="s">
        <v>19</v>
      </c>
      <c r="I437" s="54" t="s">
        <v>19</v>
      </c>
      <c r="J437" s="54" t="s">
        <v>19</v>
      </c>
      <c r="K437" s="52" t="str">
        <f t="shared" si="34"/>
        <v>Mpox</v>
      </c>
      <c r="M437" s="55"/>
    </row>
    <row r="438">
      <c r="A438" s="29"/>
      <c r="B438" s="50" t="str">
        <f>IFERROR(__xludf.DUMMYFUNCTION("""COMPUTED_VALUE"""),"Headache                    ")</f>
        <v>Headache                    </v>
      </c>
      <c r="C438" s="29" t="str">
        <f>IFERROR(__xludf.DUMMYFUNCTION("""COMPUTED_VALUE"""),"HP:0002315")</f>
        <v>HP:0002315</v>
      </c>
      <c r="D438" s="29" t="str">
        <f>IFERROR(__xludf.DUMMYFUNCTION("""COMPUTED_VALUE"""),"Cephalgia, or pain sensed in various parts of the head, not confined to the area of distribution of any nerve.")</f>
        <v>Cephalgia, or pain sensed in various parts of the head, not confined to the area of distribution of any nerve.</v>
      </c>
      <c r="E438" s="29"/>
      <c r="F438" s="29"/>
      <c r="G438" s="29"/>
      <c r="H438" s="54" t="s">
        <v>19</v>
      </c>
      <c r="I438" s="54" t="s">
        <v>19</v>
      </c>
      <c r="J438" s="54" t="s">
        <v>19</v>
      </c>
      <c r="K438" s="52" t="str">
        <f t="shared" si="34"/>
        <v>Mpox</v>
      </c>
      <c r="M438" s="55"/>
    </row>
    <row r="439">
      <c r="A439" s="29"/>
      <c r="B439" s="50" t="str">
        <f>IFERROR(__xludf.DUMMYFUNCTION("""COMPUTED_VALUE"""),"Lesion                    ")</f>
        <v>Lesion                    </v>
      </c>
      <c r="C439" s="29" t="str">
        <f>IFERROR(__xludf.DUMMYFUNCTION("""COMPUTED_VALUE"""),"NCIT:C3824")</f>
        <v>NCIT:C3824</v>
      </c>
      <c r="D439"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39" s="29"/>
      <c r="F439" s="29"/>
      <c r="G439" s="29"/>
      <c r="H439" s="54" t="s">
        <v>19</v>
      </c>
      <c r="I439" s="54" t="s">
        <v>19</v>
      </c>
      <c r="J439" s="54" t="s">
        <v>19</v>
      </c>
      <c r="K439" s="52" t="str">
        <f t="shared" si="34"/>
        <v>Mpox</v>
      </c>
      <c r="M439" s="55"/>
    </row>
    <row r="440">
      <c r="A440" s="29"/>
      <c r="B440" s="50" t="str">
        <f>IFERROR(__xludf.DUMMYFUNCTION("""COMPUTED_VALUE"""),"     Lesion (Macule)               ")</f>
        <v>     Lesion (Macule)               </v>
      </c>
      <c r="C440" s="29" t="str">
        <f>IFERROR(__xludf.DUMMYFUNCTION("""COMPUTED_VALUE"""),"NCIT:C43278")</f>
        <v>NCIT:C43278</v>
      </c>
      <c r="D440" s="29" t="str">
        <f>IFERROR(__xludf.DUMMYFUNCTION("""COMPUTED_VALUE"""),"A flat lesion characterized by change in the skin color.")</f>
        <v>A flat lesion characterized by change in the skin color.</v>
      </c>
      <c r="E440" s="29"/>
      <c r="F440" s="29"/>
      <c r="G440" s="29"/>
      <c r="H440" s="54" t="s">
        <v>19</v>
      </c>
      <c r="I440" s="54" t="s">
        <v>19</v>
      </c>
      <c r="J440" s="54" t="s">
        <v>19</v>
      </c>
      <c r="K440" s="52" t="str">
        <f t="shared" si="34"/>
        <v>Mpox</v>
      </c>
      <c r="M440" s="55"/>
    </row>
    <row r="441">
      <c r="A441" s="29"/>
      <c r="B441" s="50" t="str">
        <f>IFERROR(__xludf.DUMMYFUNCTION("""COMPUTED_VALUE"""),"     Lesion (Papule)               ")</f>
        <v>     Lesion (Papule)               </v>
      </c>
      <c r="C441" s="33" t="str">
        <f>IFERROR(__xludf.DUMMYFUNCTION("""COMPUTED_VALUE"""),"NCIT:C39690")</f>
        <v>NCIT:C39690</v>
      </c>
      <c r="D441" s="29" t="str">
        <f>IFERROR(__xludf.DUMMYFUNCTION("""COMPUTED_VALUE"""),"A small (less than 5-10 mm) elevation of skin that is non-suppurative.")</f>
        <v>A small (less than 5-10 mm) elevation of skin that is non-suppurative.</v>
      </c>
      <c r="E441" s="29"/>
      <c r="F441" s="29"/>
      <c r="G441" s="29"/>
      <c r="H441" s="54" t="s">
        <v>19</v>
      </c>
      <c r="I441" s="54" t="s">
        <v>19</v>
      </c>
      <c r="J441" s="54" t="s">
        <v>19</v>
      </c>
      <c r="K441" s="52" t="str">
        <f t="shared" si="34"/>
        <v>Mpox</v>
      </c>
      <c r="M441" s="55"/>
    </row>
    <row r="442">
      <c r="A442" s="29"/>
      <c r="B442" s="50" t="str">
        <f>IFERROR(__xludf.DUMMYFUNCTION("""COMPUTED_VALUE"""),"     Lesion (Pustule)               ")</f>
        <v>     Lesion (Pustule)               </v>
      </c>
      <c r="C442" s="33" t="str">
        <f>IFERROR(__xludf.DUMMYFUNCTION("""COMPUTED_VALUE"""),"NCIT:C78582")</f>
        <v>NCIT:C78582</v>
      </c>
      <c r="D442" s="29" t="str">
        <f>IFERROR(__xludf.DUMMYFUNCTION("""COMPUTED_VALUE"""),"A circumscribed and elevated skin lesion filled with purulent material.")</f>
        <v>A circumscribed and elevated skin lesion filled with purulent material.</v>
      </c>
      <c r="E442" s="29"/>
      <c r="F442" s="29"/>
      <c r="G442" s="29"/>
      <c r="H442" s="54" t="s">
        <v>19</v>
      </c>
      <c r="I442" s="54" t="s">
        <v>19</v>
      </c>
      <c r="J442" s="54" t="s">
        <v>19</v>
      </c>
      <c r="K442" s="52" t="str">
        <f t="shared" si="34"/>
        <v>Mpox</v>
      </c>
      <c r="M442" s="55"/>
    </row>
    <row r="443">
      <c r="A443" s="29"/>
      <c r="B443" s="50" t="str">
        <f>IFERROR(__xludf.DUMMYFUNCTION("""COMPUTED_VALUE"""),"     Lesion (Scab)               ")</f>
        <v>     Lesion (Scab)               </v>
      </c>
      <c r="C443" s="29" t="str">
        <f>IFERROR(__xludf.DUMMYFUNCTION("""COMPUTED_VALUE"""),"GENEPIO:0100490")</f>
        <v>GENEPIO:0100490</v>
      </c>
      <c r="D443" s="29" t="str">
        <f>IFERROR(__xludf.DUMMYFUNCTION("""COMPUTED_VALUE"""),"Dried purulent material on the skin from a skin lesion.")</f>
        <v>Dried purulent material on the skin from a skin lesion.</v>
      </c>
      <c r="E443" s="29"/>
      <c r="F443" s="29"/>
      <c r="G443" s="29"/>
      <c r="H443" s="54" t="s">
        <v>19</v>
      </c>
      <c r="I443" s="54" t="s">
        <v>19</v>
      </c>
      <c r="J443" s="54" t="s">
        <v>19</v>
      </c>
      <c r="K443" s="52" t="str">
        <f t="shared" si="34"/>
        <v>Mpox</v>
      </c>
      <c r="M443" s="55"/>
    </row>
    <row r="444">
      <c r="A444" s="29"/>
      <c r="B444" s="50" t="str">
        <f>IFERROR(__xludf.DUMMYFUNCTION("""COMPUTED_VALUE"""),"     Lesion (Vesicle)               ")</f>
        <v>     Lesion (Vesicle)               </v>
      </c>
      <c r="C444" s="29" t="str">
        <f>IFERROR(__xludf.DUMMYFUNCTION("""COMPUTED_VALUE"""),"GENEPIO:0100491")</f>
        <v>GENEPIO:0100491</v>
      </c>
      <c r="D444" s="29" t="str">
        <f>IFERROR(__xludf.DUMMYFUNCTION("""COMPUTED_VALUE"""),"Small, inflamed, pus-filled, blister-like sores (lesions) on the skin surface.")</f>
        <v>Small, inflamed, pus-filled, blister-like sores (lesions) on the skin surface.</v>
      </c>
      <c r="E444" s="29"/>
      <c r="F444" s="29"/>
      <c r="G444" s="29"/>
      <c r="H444" s="54" t="s">
        <v>19</v>
      </c>
      <c r="I444" s="54" t="s">
        <v>19</v>
      </c>
      <c r="J444" s="54" t="s">
        <v>19</v>
      </c>
      <c r="K444" s="52" t="str">
        <f t="shared" si="34"/>
        <v>Mpox</v>
      </c>
      <c r="M444" s="55"/>
    </row>
    <row r="445">
      <c r="A445" s="29"/>
      <c r="B445" s="50" t="str">
        <f>IFERROR(__xludf.DUMMYFUNCTION("""COMPUTED_VALUE"""),"Myalgia (muscle pain)                    ")</f>
        <v>Myalgia (muscle pain)                    </v>
      </c>
      <c r="C445" s="29" t="str">
        <f>IFERROR(__xludf.DUMMYFUNCTION("""COMPUTED_VALUE"""),"HP:0003326")</f>
        <v>HP:0003326</v>
      </c>
      <c r="D445" s="29" t="str">
        <f>IFERROR(__xludf.DUMMYFUNCTION("""COMPUTED_VALUE"""),"Pain in muscle.")</f>
        <v>Pain in muscle.</v>
      </c>
      <c r="E445" s="29"/>
      <c r="F445" s="29"/>
      <c r="G445" s="29"/>
      <c r="H445" s="54" t="s">
        <v>19</v>
      </c>
      <c r="I445" s="54" t="s">
        <v>19</v>
      </c>
      <c r="J445" s="54" t="s">
        <v>19</v>
      </c>
      <c r="K445" s="52" t="str">
        <f t="shared" si="34"/>
        <v>Mpox</v>
      </c>
      <c r="M445" s="55"/>
    </row>
    <row r="446">
      <c r="A446" s="29"/>
      <c r="B446" s="50" t="str">
        <f>IFERROR(__xludf.DUMMYFUNCTION("""COMPUTED_VALUE"""),"     Back pain               ")</f>
        <v>     Back pain               </v>
      </c>
      <c r="C446" s="29" t="str">
        <f>IFERROR(__xludf.DUMMYFUNCTION("""COMPUTED_VALUE"""),"HP:0003418")</f>
        <v>HP:0003418</v>
      </c>
      <c r="D446"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46" s="29"/>
      <c r="F446" s="29"/>
      <c r="G446" s="29"/>
      <c r="H446" s="54" t="s">
        <v>19</v>
      </c>
      <c r="I446" s="54" t="s">
        <v>19</v>
      </c>
      <c r="J446" s="54" t="s">
        <v>19</v>
      </c>
      <c r="K446" s="52" t="str">
        <f t="shared" si="34"/>
        <v>Mpox</v>
      </c>
      <c r="M446" s="57"/>
    </row>
    <row r="447">
      <c r="A447" s="29"/>
      <c r="B447" s="50" t="str">
        <f>IFERROR(__xludf.DUMMYFUNCTION("""COMPUTED_VALUE"""),"Nausea                    ")</f>
        <v>Nausea                    </v>
      </c>
      <c r="C447" s="29" t="str">
        <f>IFERROR(__xludf.DUMMYFUNCTION("""COMPUTED_VALUE"""),"HP:0002018")</f>
        <v>HP:0002018</v>
      </c>
      <c r="D447" s="29" t="str">
        <f>IFERROR(__xludf.DUMMYFUNCTION("""COMPUTED_VALUE"""),"A sensation of unease in the stomach together with an urge to vomit.")</f>
        <v>A sensation of unease in the stomach together with an urge to vomit.</v>
      </c>
      <c r="E447" s="29"/>
      <c r="F447" s="29"/>
      <c r="G447" s="29"/>
      <c r="H447" s="54" t="s">
        <v>19</v>
      </c>
      <c r="I447" s="54" t="s">
        <v>19</v>
      </c>
      <c r="J447" s="54" t="s">
        <v>19</v>
      </c>
      <c r="K447" s="52" t="str">
        <f t="shared" si="34"/>
        <v>Mpox</v>
      </c>
    </row>
    <row r="448">
      <c r="A448" s="29"/>
      <c r="B448" s="50" t="str">
        <f>IFERROR(__xludf.DUMMYFUNCTION("""COMPUTED_VALUE"""),"Rash                    ")</f>
        <v>Rash                    </v>
      </c>
      <c r="C448" s="29" t="str">
        <f>IFERROR(__xludf.DUMMYFUNCTION("""COMPUTED_VALUE"""),"HP:0000988")</f>
        <v>HP:0000988</v>
      </c>
      <c r="D448" s="29" t="str">
        <f>IFERROR(__xludf.DUMMYFUNCTION("""COMPUTED_VALUE"""),"A red eruption of the skin.")</f>
        <v>A red eruption of the skin.</v>
      </c>
      <c r="E448" s="29"/>
      <c r="F448" s="29"/>
      <c r="G448" s="29"/>
      <c r="H448" s="54" t="s">
        <v>19</v>
      </c>
      <c r="I448" s="54" t="s">
        <v>19</v>
      </c>
      <c r="J448" s="54" t="s">
        <v>19</v>
      </c>
      <c r="K448" s="52" t="str">
        <f t="shared" si="34"/>
        <v>Mpox</v>
      </c>
      <c r="M448" s="56"/>
    </row>
    <row r="449">
      <c r="A449" s="29"/>
      <c r="B449" s="50" t="str">
        <f>IFERROR(__xludf.DUMMYFUNCTION("""COMPUTED_VALUE"""),"Sore throat                    ")</f>
        <v>Sore throat                    </v>
      </c>
      <c r="C449" s="29" t="str">
        <f>IFERROR(__xludf.DUMMYFUNCTION("""COMPUTED_VALUE"""),"NCIT:C50747")</f>
        <v>NCIT:C50747</v>
      </c>
      <c r="D449" s="29" t="str">
        <f>IFERROR(__xludf.DUMMYFUNCTION("""COMPUTED_VALUE"""),"Any kind of inflammatory process of the tonsils, pharynx, or/and larynx characterized by pain in swallowing.")</f>
        <v>Any kind of inflammatory process of the tonsils, pharynx, or/and larynx characterized by pain in swallowing.</v>
      </c>
      <c r="E449" s="29"/>
      <c r="F449" s="29"/>
      <c r="G449" s="29"/>
      <c r="H449" s="54" t="s">
        <v>19</v>
      </c>
      <c r="I449" s="54" t="s">
        <v>19</v>
      </c>
      <c r="J449" s="54" t="s">
        <v>19</v>
      </c>
      <c r="K449" s="52" t="str">
        <f t="shared" si="34"/>
        <v>Mpox</v>
      </c>
      <c r="M449" s="55"/>
    </row>
    <row r="450">
      <c r="A450" s="29"/>
      <c r="B450" s="50" t="str">
        <f>IFERROR(__xludf.DUMMYFUNCTION("""COMPUTED_VALUE"""),"Sweating                    ")</f>
        <v>Sweating                    </v>
      </c>
      <c r="C450" s="29" t="str">
        <f>IFERROR(__xludf.DUMMYFUNCTION("""COMPUTED_VALUE"""),"NCIT:C36172")</f>
        <v>NCIT:C36172</v>
      </c>
      <c r="D450" s="29" t="str">
        <f>IFERROR(__xludf.DUMMYFUNCTION("""COMPUTED_VALUE"""),"A watery secretion by the sweat glands that is primarily composed of salt, urea and minerals.")</f>
        <v>A watery secretion by the sweat glands that is primarily composed of salt, urea and minerals.</v>
      </c>
      <c r="E450" s="29"/>
      <c r="F450" s="29"/>
      <c r="G450" s="29"/>
      <c r="H450" s="54" t="s">
        <v>19</v>
      </c>
      <c r="I450" s="54" t="s">
        <v>19</v>
      </c>
      <c r="J450" s="54" t="s">
        <v>19</v>
      </c>
      <c r="K450" s="52" t="str">
        <f t="shared" si="34"/>
        <v>Mpox</v>
      </c>
      <c r="M450" s="55"/>
    </row>
    <row r="451">
      <c r="A451" s="29"/>
      <c r="B451" s="50" t="str">
        <f>IFERROR(__xludf.DUMMYFUNCTION("""COMPUTED_VALUE"""),"Swollen Lymph Nodes                    ")</f>
        <v>Swollen Lymph Nodes                    </v>
      </c>
      <c r="C451" s="29" t="str">
        <f>IFERROR(__xludf.DUMMYFUNCTION("""COMPUTED_VALUE"""),"HP:0002716")</f>
        <v>HP:0002716</v>
      </c>
      <c r="D451" s="29" t="str">
        <f>IFERROR(__xludf.DUMMYFUNCTION("""COMPUTED_VALUE"""),"Enlargment (swelling) of a lymph node.")</f>
        <v>Enlargment (swelling) of a lymph node.</v>
      </c>
      <c r="E451" s="29"/>
      <c r="F451" s="29"/>
      <c r="G451" s="29"/>
      <c r="H451" s="54" t="s">
        <v>19</v>
      </c>
      <c r="I451" s="54" t="s">
        <v>19</v>
      </c>
      <c r="J451" s="54" t="s">
        <v>19</v>
      </c>
      <c r="K451" s="52" t="str">
        <f t="shared" si="34"/>
        <v>Mpox</v>
      </c>
      <c r="M451" s="55"/>
    </row>
    <row r="452">
      <c r="A452" s="29"/>
      <c r="B452" s="50" t="str">
        <f>IFERROR(__xludf.DUMMYFUNCTION("""COMPUTED_VALUE"""),"Ulcer                    ")</f>
        <v>Ulcer                    </v>
      </c>
      <c r="C452" s="29" t="str">
        <f>IFERROR(__xludf.DUMMYFUNCTION("""COMPUTED_VALUE"""),"NCIT:C3426")</f>
        <v>NCIT:C3426</v>
      </c>
      <c r="D452"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52" s="29"/>
      <c r="F452" s="29"/>
      <c r="G452" s="29"/>
      <c r="H452" s="54" t="s">
        <v>19</v>
      </c>
      <c r="I452" s="54" t="s">
        <v>19</v>
      </c>
      <c r="J452" s="54" t="s">
        <v>19</v>
      </c>
      <c r="K452" s="52" t="str">
        <f t="shared" si="34"/>
        <v>Mpox</v>
      </c>
      <c r="M452" s="55"/>
    </row>
    <row r="453">
      <c r="A453" s="29"/>
      <c r="B453" s="50" t="str">
        <f>IFERROR(__xludf.DUMMYFUNCTION("""COMPUTED_VALUE"""),"Vomiting (throwing up)                    ")</f>
        <v>Vomiting (throwing up)                    </v>
      </c>
      <c r="C453" s="29" t="str">
        <f>IFERROR(__xludf.DUMMYFUNCTION("""COMPUTED_VALUE"""),"HP:0002013")</f>
        <v>HP:0002013</v>
      </c>
      <c r="D453"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53" s="29"/>
      <c r="F453" s="29"/>
      <c r="G453" s="29"/>
      <c r="H453" s="54"/>
      <c r="I453" s="54"/>
      <c r="J453" s="54"/>
      <c r="K453" s="53" t="s">
        <v>31</v>
      </c>
      <c r="L453" s="29" t="str">
        <f>LEFT(A453, LEN(A453) - 5)
</f>
        <v>#VALUE!</v>
      </c>
      <c r="M453" s="58" t="s">
        <v>32</v>
      </c>
    </row>
    <row r="454">
      <c r="A454" s="29"/>
      <c r="B454" s="50" t="str">
        <f>IFERROR(__xludf.DUMMYFUNCTION("""COMPUTED_VALUE"""),"                    ")</f>
        <v>                    </v>
      </c>
      <c r="C454" s="29"/>
      <c r="D454" s="29" t="str">
        <f>IFERROR(__xludf.DUMMYFUNCTION("""COMPUTED_VALUE"""),"")</f>
        <v/>
      </c>
      <c r="E454" s="29"/>
      <c r="F454" s="29"/>
      <c r="G454" s="29"/>
      <c r="H454" s="54" t="s">
        <v>19</v>
      </c>
      <c r="I454" s="54" t="s">
        <v>19</v>
      </c>
      <c r="J454" s="54" t="s">
        <v>19</v>
      </c>
      <c r="K454" s="52" t="str">
        <f t="shared" ref="K454:K475" si="35">K453</f>
        <v>International</v>
      </c>
      <c r="M454" s="55"/>
    </row>
    <row r="455">
      <c r="A455" s="29" t="str">
        <f>IFERROR(__xludf.DUMMYFUNCTION("""COMPUTED_VALUE"""),"signs and symptoms international menu")</f>
        <v>signs and symptoms international menu</v>
      </c>
      <c r="B455" s="50" t="str">
        <f>IFERROR(__xludf.DUMMYFUNCTION("""COMPUTED_VALUE"""),"                    ")</f>
        <v>                    </v>
      </c>
      <c r="C455" s="29"/>
      <c r="D455" s="29" t="str">
        <f>IFERROR(__xludf.DUMMYFUNCTION("""COMPUTED_VALUE"""),"")</f>
        <v/>
      </c>
      <c r="E455" s="29"/>
      <c r="F455" s="29"/>
      <c r="G455" s="29"/>
      <c r="H455" s="54" t="s">
        <v>19</v>
      </c>
      <c r="I455" s="54" t="s">
        <v>19</v>
      </c>
      <c r="J455" s="54" t="s">
        <v>19</v>
      </c>
      <c r="K455" s="52" t="str">
        <f t="shared" si="35"/>
        <v>International</v>
      </c>
      <c r="M455" s="55"/>
    </row>
    <row r="456">
      <c r="A456" s="29"/>
      <c r="B456" s="50" t="str">
        <f>IFERROR(__xludf.DUMMYFUNCTION("""COMPUTED_VALUE"""),"Chills (sudden cold sensation) [HP:0025143]                    ")</f>
        <v>Chills (sudden cold sensation) [HP:0025143]                    </v>
      </c>
      <c r="C456" s="29" t="str">
        <f>IFERROR(__xludf.DUMMYFUNCTION("""COMPUTED_VALUE"""),"HP:0025143")</f>
        <v>HP:0025143</v>
      </c>
      <c r="D456" s="29" t="str">
        <f>IFERROR(__xludf.DUMMYFUNCTION("""COMPUTED_VALUE"""),"A sudden sensation of feeling cold.")</f>
        <v>A sudden sensation of feeling cold.</v>
      </c>
      <c r="E456" s="29"/>
      <c r="F456" s="29"/>
      <c r="G456" s="29"/>
      <c r="H456" s="54" t="s">
        <v>19</v>
      </c>
      <c r="I456" s="54" t="s">
        <v>19</v>
      </c>
      <c r="J456" s="54" t="s">
        <v>19</v>
      </c>
      <c r="K456" s="52" t="str">
        <f t="shared" si="35"/>
        <v>International</v>
      </c>
      <c r="M456" s="55"/>
    </row>
    <row r="457">
      <c r="A457" s="29"/>
      <c r="B457" s="50" t="str">
        <f>IFERROR(__xludf.DUMMYFUNCTION("""COMPUTED_VALUE"""),"Conjunctivitis (pink eye) [HP:0000509]                    ")</f>
        <v>Conjunctivitis (pink eye) [HP:0000509]                    </v>
      </c>
      <c r="C457" s="29" t="str">
        <f>IFERROR(__xludf.DUMMYFUNCTION("""COMPUTED_VALUE"""),"HP:0000509")</f>
        <v>HP:0000509</v>
      </c>
      <c r="D457" s="29" t="str">
        <f>IFERROR(__xludf.DUMMYFUNCTION("""COMPUTED_VALUE"""),"Inflammation of the conjunctiva.")</f>
        <v>Inflammation of the conjunctiva.</v>
      </c>
      <c r="E457" s="29"/>
      <c r="F457" s="29"/>
      <c r="G457" s="29"/>
      <c r="H457" s="54" t="s">
        <v>19</v>
      </c>
      <c r="I457" s="54" t="s">
        <v>19</v>
      </c>
      <c r="J457" s="54" t="s">
        <v>19</v>
      </c>
      <c r="K457" s="52" t="str">
        <f t="shared" si="35"/>
        <v>International</v>
      </c>
      <c r="M457" s="55"/>
    </row>
    <row r="458">
      <c r="A458" s="29"/>
      <c r="B458" s="50" t="str">
        <f>IFERROR(__xludf.DUMMYFUNCTION("""COMPUTED_VALUE"""),"Cough [HP:0012735]                    ")</f>
        <v>Cough [HP:0012735]                    </v>
      </c>
      <c r="C458" s="29" t="str">
        <f>IFERROR(__xludf.DUMMYFUNCTION("""COMPUTED_VALUE"""),"HP:0012735")</f>
        <v>HP:0012735</v>
      </c>
      <c r="D458" s="29" t="str">
        <f>IFERROR(__xludf.DUMMYFUNCTION("""COMPUTED_VALUE"""),"A sudden, audible expulsion of air from the lungs through a partially closed glottis, preceded by inhalation.")</f>
        <v>A sudden, audible expulsion of air from the lungs through a partially closed glottis, preceded by inhalation.</v>
      </c>
      <c r="E458" s="29"/>
      <c r="F458" s="29"/>
      <c r="G458" s="29"/>
      <c r="H458" s="54" t="s">
        <v>19</v>
      </c>
      <c r="I458" s="54" t="s">
        <v>19</v>
      </c>
      <c r="J458" s="54" t="s">
        <v>19</v>
      </c>
      <c r="K458" s="52" t="str">
        <f t="shared" si="35"/>
        <v>International</v>
      </c>
      <c r="M458" s="55"/>
    </row>
    <row r="459">
      <c r="A459" s="29"/>
      <c r="B459" s="50" t="str">
        <f>IFERROR(__xludf.DUMMYFUNCTION("""COMPUTED_VALUE"""),"Fatigue (tiredness) [HP:0012378]                    ")</f>
        <v>Fatigue (tiredness) [HP:0012378]                    </v>
      </c>
      <c r="C459" s="29" t="str">
        <f>IFERROR(__xludf.DUMMYFUNCTION("""COMPUTED_VALUE"""),"HP:0012378")</f>
        <v>HP:0012378</v>
      </c>
      <c r="D459" s="29" t="str">
        <f>IFERROR(__xludf.DUMMYFUNCTION("""COMPUTED_VALUE"""),"A subjective feeling of tiredness characterized by a lack of energy and motivation.")</f>
        <v>A subjective feeling of tiredness characterized by a lack of energy and motivation.</v>
      </c>
      <c r="E459" s="29"/>
      <c r="F459" s="29"/>
      <c r="G459" s="29"/>
      <c r="H459" s="54" t="s">
        <v>19</v>
      </c>
      <c r="I459" s="54" t="s">
        <v>19</v>
      </c>
      <c r="J459" s="54" t="s">
        <v>19</v>
      </c>
      <c r="K459" s="52" t="str">
        <f t="shared" si="35"/>
        <v>International</v>
      </c>
      <c r="M459" s="55"/>
    </row>
    <row r="460">
      <c r="A460" s="53"/>
      <c r="B460" s="50" t="str">
        <f>IFERROR(__xludf.DUMMYFUNCTION("""COMPUTED_VALUE"""),"Fever [HP:0001945]                    ")</f>
        <v>Fever [HP:0001945]                    </v>
      </c>
      <c r="C460" s="53" t="str">
        <f>IFERROR(__xludf.DUMMYFUNCTION("""COMPUTED_VALUE"""),"HP:0001945")</f>
        <v>HP:0001945</v>
      </c>
      <c r="D460" s="29" t="str">
        <f>IFERROR(__xludf.DUMMYFUNCTION("""COMPUTED_VALUE"""),"Body temperature elevated above the normal range.")</f>
        <v>Body temperature elevated above the normal range.</v>
      </c>
      <c r="H460" s="54" t="s">
        <v>19</v>
      </c>
      <c r="I460" s="54" t="s">
        <v>19</v>
      </c>
      <c r="J460" s="54" t="s">
        <v>19</v>
      </c>
      <c r="K460" s="52" t="str">
        <f t="shared" si="35"/>
        <v>International</v>
      </c>
      <c r="M460" s="55"/>
    </row>
    <row r="461">
      <c r="A461" s="53"/>
      <c r="B461" s="50" t="str">
        <f>IFERROR(__xludf.DUMMYFUNCTION("""COMPUTED_VALUE"""),"Headache [HP:0002315]                    ")</f>
        <v>Headache [HP:0002315]                    </v>
      </c>
      <c r="C461" s="53" t="str">
        <f>IFERROR(__xludf.DUMMYFUNCTION("""COMPUTED_VALUE"""),"HP:0002315")</f>
        <v>HP:0002315</v>
      </c>
      <c r="D461" s="29" t="str">
        <f>IFERROR(__xludf.DUMMYFUNCTION("""COMPUTED_VALUE"""),"Cephalgia, or pain sensed in various parts of the head, not confined to the area of distribution of any nerve.")</f>
        <v>Cephalgia, or pain sensed in various parts of the head, not confined to the area of distribution of any nerve.</v>
      </c>
      <c r="H461" s="52" t="s">
        <v>19</v>
      </c>
      <c r="I461" s="52" t="s">
        <v>19</v>
      </c>
      <c r="J461" s="52" t="s">
        <v>19</v>
      </c>
      <c r="K461" s="52" t="str">
        <f t="shared" si="35"/>
        <v>International</v>
      </c>
      <c r="M461" s="55"/>
    </row>
    <row r="462">
      <c r="A462" s="53"/>
      <c r="B462" s="50" t="str">
        <f>IFERROR(__xludf.DUMMYFUNCTION("""COMPUTED_VALUE"""),"Lesion [NCIT:C3824]                    ")</f>
        <v>Lesion [NCIT:C3824]                    </v>
      </c>
      <c r="C462" s="53" t="str">
        <f>IFERROR(__xludf.DUMMYFUNCTION("""COMPUTED_VALUE"""),"NCIT:C3824")</f>
        <v>NCIT:C3824</v>
      </c>
      <c r="D462"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62" s="52" t="s">
        <v>19</v>
      </c>
      <c r="I462" s="52" t="s">
        <v>19</v>
      </c>
      <c r="J462" s="52" t="s">
        <v>19</v>
      </c>
      <c r="K462" s="52" t="str">
        <f t="shared" si="35"/>
        <v>International</v>
      </c>
      <c r="M462" s="55"/>
    </row>
    <row r="463">
      <c r="A463" s="53"/>
      <c r="B463" s="50" t="str">
        <f>IFERROR(__xludf.DUMMYFUNCTION("""COMPUTED_VALUE"""),"     Lesion (Macule) [NCIT:C43278]               ")</f>
        <v>     Lesion (Macule) [NCIT:C43278]               </v>
      </c>
      <c r="C463" s="53" t="str">
        <f>IFERROR(__xludf.DUMMYFUNCTION("""COMPUTED_VALUE"""),"NCIT:C43278")</f>
        <v>NCIT:C43278</v>
      </c>
      <c r="D463" s="29" t="str">
        <f>IFERROR(__xludf.DUMMYFUNCTION("""COMPUTED_VALUE"""),"A flat lesion characterized by change in the skin color.")</f>
        <v>A flat lesion characterized by change in the skin color.</v>
      </c>
      <c r="H463" s="52" t="s">
        <v>19</v>
      </c>
      <c r="I463" s="52" t="s">
        <v>19</v>
      </c>
      <c r="J463" s="52" t="s">
        <v>19</v>
      </c>
      <c r="K463" s="52" t="str">
        <f t="shared" si="35"/>
        <v>International</v>
      </c>
      <c r="M463" s="55"/>
    </row>
    <row r="464">
      <c r="A464" s="53"/>
      <c r="B464" s="50" t="str">
        <f>IFERROR(__xludf.DUMMYFUNCTION("""COMPUTED_VALUE"""),"     Lesion (Papule) [NCIT:C39690]               ")</f>
        <v>     Lesion (Papule) [NCIT:C39690]               </v>
      </c>
      <c r="C464" s="59" t="str">
        <f>IFERROR(__xludf.DUMMYFUNCTION("""COMPUTED_VALUE"""),"NCIT:C39690")</f>
        <v>NCIT:C39690</v>
      </c>
      <c r="D464" s="29" t="str">
        <f>IFERROR(__xludf.DUMMYFUNCTION("""COMPUTED_VALUE"""),"A small (less than 5-10 mm) elevation of skin that is non-suppurative.")</f>
        <v>A small (less than 5-10 mm) elevation of skin that is non-suppurative.</v>
      </c>
      <c r="H464" s="52" t="s">
        <v>19</v>
      </c>
      <c r="I464" s="52" t="s">
        <v>19</v>
      </c>
      <c r="J464" s="52" t="s">
        <v>19</v>
      </c>
      <c r="K464" s="52" t="str">
        <f t="shared" si="35"/>
        <v>International</v>
      </c>
      <c r="M464" s="55"/>
    </row>
    <row r="465">
      <c r="A465" s="53"/>
      <c r="B465" s="50" t="str">
        <f>IFERROR(__xludf.DUMMYFUNCTION("""COMPUTED_VALUE"""),"     Lesion (Pustule) [NCIT:C78582]               ")</f>
        <v>     Lesion (Pustule) [NCIT:C78582]               </v>
      </c>
      <c r="C465" s="59" t="str">
        <f>IFERROR(__xludf.DUMMYFUNCTION("""COMPUTED_VALUE"""),"NCIT:C78582")</f>
        <v>NCIT:C78582</v>
      </c>
      <c r="D465" s="29" t="str">
        <f>IFERROR(__xludf.DUMMYFUNCTION("""COMPUTED_VALUE"""),"A circumscribed and elevated skin lesion filled with purulent material.")</f>
        <v>A circumscribed and elevated skin lesion filled with purulent material.</v>
      </c>
      <c r="H465" s="52" t="s">
        <v>19</v>
      </c>
      <c r="I465" s="52" t="s">
        <v>19</v>
      </c>
      <c r="J465" s="52" t="s">
        <v>19</v>
      </c>
      <c r="K465" s="52" t="str">
        <f t="shared" si="35"/>
        <v>International</v>
      </c>
      <c r="M465" s="55"/>
    </row>
    <row r="466">
      <c r="A466" s="53"/>
      <c r="B466" s="50" t="str">
        <f>IFERROR(__xludf.DUMMYFUNCTION("""COMPUTED_VALUE"""),"     Lesion (Scab) [GENEPIO:0100490]               ")</f>
        <v>     Lesion (Scab) [GENEPIO:0100490]               </v>
      </c>
      <c r="C466" s="53" t="str">
        <f>IFERROR(__xludf.DUMMYFUNCTION("""COMPUTED_VALUE"""),"GENEPIO:0100490")</f>
        <v>GENEPIO:0100490</v>
      </c>
      <c r="D466" s="29" t="str">
        <f>IFERROR(__xludf.DUMMYFUNCTION("""COMPUTED_VALUE"""),"Dried purulent material on the skin from a skin lesion.")</f>
        <v>Dried purulent material on the skin from a skin lesion.</v>
      </c>
      <c r="H466" s="52" t="s">
        <v>19</v>
      </c>
      <c r="I466" s="52" t="s">
        <v>19</v>
      </c>
      <c r="J466" s="52" t="s">
        <v>19</v>
      </c>
      <c r="K466" s="52" t="str">
        <f t="shared" si="35"/>
        <v>International</v>
      </c>
      <c r="M466" s="55"/>
    </row>
    <row r="467">
      <c r="A467" s="53"/>
      <c r="B467" s="50" t="str">
        <f>IFERROR(__xludf.DUMMYFUNCTION("""COMPUTED_VALUE"""),"     Lesion (Vesicle) [GENEPIO:0100491]               ")</f>
        <v>     Lesion (Vesicle) [GENEPIO:0100491]               </v>
      </c>
      <c r="C467" s="53" t="str">
        <f>IFERROR(__xludf.DUMMYFUNCTION("""COMPUTED_VALUE"""),"GENEPIO:0100491")</f>
        <v>GENEPIO:0100491</v>
      </c>
      <c r="D467" s="29" t="str">
        <f>IFERROR(__xludf.DUMMYFUNCTION("""COMPUTED_VALUE"""),"Small, inflamed, pus-filled, blister-like sores (lesions) on the skin surface.")</f>
        <v>Small, inflamed, pus-filled, blister-like sores (lesions) on the skin surface.</v>
      </c>
      <c r="H467" s="52" t="s">
        <v>19</v>
      </c>
      <c r="I467" s="52" t="s">
        <v>19</v>
      </c>
      <c r="J467" s="52" t="s">
        <v>19</v>
      </c>
      <c r="K467" s="52" t="str">
        <f t="shared" si="35"/>
        <v>International</v>
      </c>
      <c r="M467" s="55"/>
    </row>
    <row r="468">
      <c r="A468" s="53"/>
      <c r="B468" s="50" t="str">
        <f>IFERROR(__xludf.DUMMYFUNCTION("""COMPUTED_VALUE"""),"Myalgia (muscle pain) [HP:0003326]                    ")</f>
        <v>Myalgia (muscle pain) [HP:0003326]                    </v>
      </c>
      <c r="C468" s="53" t="str">
        <f>IFERROR(__xludf.DUMMYFUNCTION("""COMPUTED_VALUE"""),"HP:0003326")</f>
        <v>HP:0003326</v>
      </c>
      <c r="D468" s="29" t="str">
        <f>IFERROR(__xludf.DUMMYFUNCTION("""COMPUTED_VALUE"""),"Pain in muscle.")</f>
        <v>Pain in muscle.</v>
      </c>
      <c r="H468" s="52" t="s">
        <v>19</v>
      </c>
      <c r="I468" s="52" t="s">
        <v>19</v>
      </c>
      <c r="J468" s="52" t="s">
        <v>19</v>
      </c>
      <c r="K468" s="52" t="str">
        <f t="shared" si="35"/>
        <v>International</v>
      </c>
      <c r="M468" s="55"/>
    </row>
    <row r="469">
      <c r="A469" s="53"/>
      <c r="B469" s="50" t="str">
        <f>IFERROR(__xludf.DUMMYFUNCTION("""COMPUTED_VALUE"""),"     Back pain [HP:0003418]               ")</f>
        <v>     Back pain [HP:0003418]               </v>
      </c>
      <c r="C469" s="53" t="str">
        <f>IFERROR(__xludf.DUMMYFUNCTION("""COMPUTED_VALUE"""),"HP:0003418")</f>
        <v>HP:0003418</v>
      </c>
      <c r="D469"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69" s="52" t="s">
        <v>19</v>
      </c>
      <c r="I469" s="52" t="s">
        <v>19</v>
      </c>
      <c r="J469" s="52" t="s">
        <v>19</v>
      </c>
      <c r="K469" s="52" t="str">
        <f t="shared" si="35"/>
        <v>International</v>
      </c>
      <c r="M469" s="57"/>
    </row>
    <row r="470">
      <c r="A470" s="53"/>
      <c r="B470" s="50" t="str">
        <f>IFERROR(__xludf.DUMMYFUNCTION("""COMPUTED_VALUE"""),"Nausea [HP:0002018]                    ")</f>
        <v>Nausea [HP:0002018]                    </v>
      </c>
      <c r="C470" s="53" t="str">
        <f>IFERROR(__xludf.DUMMYFUNCTION("""COMPUTED_VALUE"""),"HP:0002018")</f>
        <v>HP:0002018</v>
      </c>
      <c r="D470" s="29" t="str">
        <f>IFERROR(__xludf.DUMMYFUNCTION("""COMPUTED_VALUE"""),"A sensation of unease in the stomach together with an urge to vomit.")</f>
        <v>A sensation of unease in the stomach together with an urge to vomit.</v>
      </c>
      <c r="H470" s="54" t="s">
        <v>19</v>
      </c>
      <c r="I470" s="54" t="s">
        <v>19</v>
      </c>
      <c r="J470" s="54" t="s">
        <v>19</v>
      </c>
      <c r="K470" s="52" t="str">
        <f t="shared" si="35"/>
        <v>International</v>
      </c>
    </row>
    <row r="471">
      <c r="A471" s="53"/>
      <c r="B471" s="50" t="str">
        <f>IFERROR(__xludf.DUMMYFUNCTION("""COMPUTED_VALUE"""),"Rash [HP:0000988]                    ")</f>
        <v>Rash [HP:0000988]                    </v>
      </c>
      <c r="C471" s="53" t="str">
        <f>IFERROR(__xludf.DUMMYFUNCTION("""COMPUTED_VALUE"""),"HP:0000988")</f>
        <v>HP:0000988</v>
      </c>
      <c r="D471" s="29" t="str">
        <f>IFERROR(__xludf.DUMMYFUNCTION("""COMPUTED_VALUE"""),"A red eruption of the skin.")</f>
        <v>A red eruption of the skin.</v>
      </c>
      <c r="H471" s="52" t="s">
        <v>19</v>
      </c>
      <c r="I471" s="52" t="s">
        <v>19</v>
      </c>
      <c r="J471" s="52" t="s">
        <v>19</v>
      </c>
      <c r="K471" s="52" t="str">
        <f t="shared" si="35"/>
        <v>International</v>
      </c>
      <c r="M471" s="56"/>
    </row>
    <row r="472">
      <c r="A472" s="53"/>
      <c r="B472" s="50" t="str">
        <f>IFERROR(__xludf.DUMMYFUNCTION("""COMPUTED_VALUE"""),"Sore throat [NCIT:C50747]                    ")</f>
        <v>Sore throat [NCIT:C50747]                    </v>
      </c>
      <c r="C472" s="53" t="str">
        <f>IFERROR(__xludf.DUMMYFUNCTION("""COMPUTED_VALUE"""),"NCIT:C50747")</f>
        <v>NCIT:C50747</v>
      </c>
      <c r="D472" s="29" t="str">
        <f>IFERROR(__xludf.DUMMYFUNCTION("""COMPUTED_VALUE"""),"Any kind of inflammatory process of the tonsils, pharynx, or/and larynx characterized by pain in swallowing.")</f>
        <v>Any kind of inflammatory process of the tonsils, pharynx, or/and larynx characterized by pain in swallowing.</v>
      </c>
      <c r="H472" s="52" t="s">
        <v>19</v>
      </c>
      <c r="I472" s="52" t="s">
        <v>19</v>
      </c>
      <c r="J472" s="52" t="s">
        <v>19</v>
      </c>
      <c r="K472" s="52" t="str">
        <f t="shared" si="35"/>
        <v>International</v>
      </c>
      <c r="M472" s="55"/>
    </row>
    <row r="473">
      <c r="A473" s="53"/>
      <c r="B473" s="50" t="str">
        <f>IFERROR(__xludf.DUMMYFUNCTION("""COMPUTED_VALUE"""),"Sweating [NCIT:C36172]                    ")</f>
        <v>Sweating [NCIT:C36172]                    </v>
      </c>
      <c r="C473" s="53" t="str">
        <f>IFERROR(__xludf.DUMMYFUNCTION("""COMPUTED_VALUE"""),"NCIT:C36172")</f>
        <v>NCIT:C36172</v>
      </c>
      <c r="D473" s="29" t="str">
        <f>IFERROR(__xludf.DUMMYFUNCTION("""COMPUTED_VALUE"""),"A watery secretion by the sweat glands that is primarily composed of salt, urea and minerals.")</f>
        <v>A watery secretion by the sweat glands that is primarily composed of salt, urea and minerals.</v>
      </c>
      <c r="H473" s="52" t="s">
        <v>19</v>
      </c>
      <c r="I473" s="52" t="s">
        <v>19</v>
      </c>
      <c r="J473" s="52" t="s">
        <v>19</v>
      </c>
      <c r="K473" s="52" t="str">
        <f t="shared" si="35"/>
        <v>International</v>
      </c>
      <c r="M473" s="55"/>
    </row>
    <row r="474">
      <c r="A474" s="53"/>
      <c r="B474" s="50" t="str">
        <f>IFERROR(__xludf.DUMMYFUNCTION("""COMPUTED_VALUE"""),"Swollen Lymph Nodes [HP:0002716]                    ")</f>
        <v>Swollen Lymph Nodes [HP:0002716]                    </v>
      </c>
      <c r="C474" s="53" t="str">
        <f>IFERROR(__xludf.DUMMYFUNCTION("""COMPUTED_VALUE"""),"HP:0002716")</f>
        <v>HP:0002716</v>
      </c>
      <c r="D474" s="29" t="str">
        <f>IFERROR(__xludf.DUMMYFUNCTION("""COMPUTED_VALUE"""),"Enlargment (swelling) of a lymph node.")</f>
        <v>Enlargment (swelling) of a lymph node.</v>
      </c>
      <c r="H474" s="52" t="s">
        <v>19</v>
      </c>
      <c r="I474" s="52" t="s">
        <v>19</v>
      </c>
      <c r="J474" s="52" t="s">
        <v>19</v>
      </c>
      <c r="K474" s="52" t="str">
        <f t="shared" si="35"/>
        <v>International</v>
      </c>
      <c r="M474" s="55"/>
    </row>
    <row r="475">
      <c r="A475" s="53"/>
      <c r="B475" s="50" t="str">
        <f>IFERROR(__xludf.DUMMYFUNCTION("""COMPUTED_VALUE"""),"Ulcer [NCIT:C3426]                    ")</f>
        <v>Ulcer [NCIT:C3426]                    </v>
      </c>
      <c r="C475" s="53" t="str">
        <f>IFERROR(__xludf.DUMMYFUNCTION("""COMPUTED_VALUE"""),"NCIT:C3426")</f>
        <v>NCIT:C3426</v>
      </c>
      <c r="D475"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75" s="52" t="s">
        <v>19</v>
      </c>
      <c r="I475" s="52" t="s">
        <v>19</v>
      </c>
      <c r="J475" s="52" t="s">
        <v>19</v>
      </c>
      <c r="K475" s="52" t="str">
        <f t="shared" si="35"/>
        <v>International</v>
      </c>
      <c r="M475" s="55"/>
    </row>
    <row r="476">
      <c r="A476" s="53"/>
      <c r="B476" s="50" t="str">
        <f>IFERROR(__xludf.DUMMYFUNCTION("""COMPUTED_VALUE"""),"Vomiting (throwing up) [HP:0002013]                    ")</f>
        <v>Vomiting (throwing up) [HP:0002013]                    </v>
      </c>
      <c r="C476" s="53" t="str">
        <f>IFERROR(__xludf.DUMMYFUNCTION("""COMPUTED_VALUE"""),"HP:0002013")</f>
        <v>HP:0002013</v>
      </c>
      <c r="D476"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76" s="52"/>
      <c r="I476" s="52"/>
      <c r="J476" s="52"/>
      <c r="K476" s="53" t="s">
        <v>29</v>
      </c>
      <c r="L476" s="53" t="str">
        <f>LEFT(A476, LEN(A476) - 5)
</f>
        <v>#VALUE!</v>
      </c>
      <c r="M476" s="60" t="s">
        <v>29</v>
      </c>
    </row>
    <row r="477">
      <c r="A477" s="53"/>
      <c r="B477" s="50" t="str">
        <f>IFERROR(__xludf.DUMMYFUNCTION("""COMPUTED_VALUE"""),"                    ")</f>
        <v>                    </v>
      </c>
      <c r="C477" s="53"/>
      <c r="D477" s="29" t="str">
        <f>IFERROR(__xludf.DUMMYFUNCTION("""COMPUTED_VALUE"""),"")</f>
        <v/>
      </c>
      <c r="H477" s="52" t="s">
        <v>19</v>
      </c>
      <c r="I477" s="52" t="s">
        <v>19</v>
      </c>
      <c r="J477" s="52" t="s">
        <v>19</v>
      </c>
      <c r="K477" s="52" t="str">
        <f t="shared" ref="K477:K501" si="36">K476</f>
        <v>Mpox</v>
      </c>
      <c r="M477" s="55"/>
    </row>
    <row r="478">
      <c r="A478" s="53" t="str">
        <f>IFERROR(__xludf.DUMMYFUNCTION("""COMPUTED_VALUE"""),"pre-existing conditions and risk factors menu")</f>
        <v>pre-existing conditions and risk factors menu</v>
      </c>
      <c r="B478" s="50" t="str">
        <f>IFERROR(__xludf.DUMMYFUNCTION("""COMPUTED_VALUE"""),"                    ")</f>
        <v>                    </v>
      </c>
      <c r="C478" s="53"/>
      <c r="D478" s="29" t="str">
        <f>IFERROR(__xludf.DUMMYFUNCTION("""COMPUTED_VALUE"""),"")</f>
        <v/>
      </c>
      <c r="E478" s="53"/>
      <c r="F478" s="53"/>
      <c r="G478" s="53"/>
      <c r="H478" s="52" t="s">
        <v>19</v>
      </c>
      <c r="I478" s="52" t="s">
        <v>19</v>
      </c>
      <c r="J478" s="52" t="s">
        <v>19</v>
      </c>
      <c r="K478" s="52" t="str">
        <f t="shared" si="36"/>
        <v>Mpox</v>
      </c>
      <c r="M478" s="55"/>
    </row>
    <row r="479">
      <c r="A479" s="53"/>
      <c r="B479" s="50" t="str">
        <f>IFERROR(__xludf.DUMMYFUNCTION("""COMPUTED_VALUE"""),"Cancer                    ")</f>
        <v>Cancer                    </v>
      </c>
      <c r="C479" s="53" t="str">
        <f>IFERROR(__xludf.DUMMYFUNCTION("""COMPUTED_VALUE"""),"MONDO:0004992")</f>
        <v>MONDO:0004992</v>
      </c>
      <c r="D479"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79" s="52" t="s">
        <v>19</v>
      </c>
      <c r="I479" s="52" t="s">
        <v>19</v>
      </c>
      <c r="J479" s="52" t="s">
        <v>19</v>
      </c>
      <c r="K479" s="52" t="str">
        <f t="shared" si="36"/>
        <v>Mpox</v>
      </c>
      <c r="M479" s="55"/>
    </row>
    <row r="480">
      <c r="A480" s="53"/>
      <c r="B480" s="50" t="str">
        <f>IFERROR(__xludf.DUMMYFUNCTION("""COMPUTED_VALUE"""),"Diabetes mellitus (diabetes)                    ")</f>
        <v>Diabetes mellitus (diabetes)                    </v>
      </c>
      <c r="C480" s="53" t="str">
        <f>IFERROR(__xludf.DUMMYFUNCTION("""COMPUTED_VALUE"""),"HP:0000819")</f>
        <v>HP:0000819</v>
      </c>
      <c r="D480" s="29" t="str">
        <f>IFERROR(__xludf.DUMMYFUNCTION("""COMPUTED_VALUE"""),"A group of abnormalities characterized by hyperglycemia and glucose intolerance.")</f>
        <v>A group of abnormalities characterized by hyperglycemia and glucose intolerance.</v>
      </c>
      <c r="H480" s="52" t="s">
        <v>19</v>
      </c>
      <c r="I480" s="52" t="s">
        <v>19</v>
      </c>
      <c r="J480" s="52" t="s">
        <v>19</v>
      </c>
      <c r="K480" s="52" t="str">
        <f t="shared" si="36"/>
        <v>Mpox</v>
      </c>
      <c r="M480" s="55"/>
    </row>
    <row r="481">
      <c r="A481" s="53"/>
      <c r="B481" s="50" t="str">
        <f>IFERROR(__xludf.DUMMYFUNCTION("""COMPUTED_VALUE"""),"     Type I diabetes mellitus (T1D)               ")</f>
        <v>     Type I diabetes mellitus (T1D)               </v>
      </c>
      <c r="C481" s="53" t="str">
        <f>IFERROR(__xludf.DUMMYFUNCTION("""COMPUTED_VALUE"""),"HP:0100651")</f>
        <v>HP:0100651</v>
      </c>
      <c r="D481"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81" s="52" t="s">
        <v>19</v>
      </c>
      <c r="I481" s="52" t="s">
        <v>19</v>
      </c>
      <c r="J481" s="52" t="s">
        <v>19</v>
      </c>
      <c r="K481" s="52" t="str">
        <f t="shared" si="36"/>
        <v>Mpox</v>
      </c>
      <c r="M481" s="55"/>
    </row>
    <row r="482">
      <c r="A482" s="53"/>
      <c r="B482" s="50" t="str">
        <f>IFERROR(__xludf.DUMMYFUNCTION("""COMPUTED_VALUE"""),"     Type II diabetes mellitus (T2D)               ")</f>
        <v>     Type II diabetes mellitus (T2D)               </v>
      </c>
      <c r="C482" s="53" t="str">
        <f>IFERROR(__xludf.DUMMYFUNCTION("""COMPUTED_VALUE"""),"HP:0005978")</f>
        <v>HP:0005978</v>
      </c>
      <c r="D482"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82" s="52" t="s">
        <v>19</v>
      </c>
      <c r="I482" s="52" t="s">
        <v>19</v>
      </c>
      <c r="J482" s="52" t="s">
        <v>19</v>
      </c>
      <c r="K482" s="52" t="str">
        <f t="shared" si="36"/>
        <v>Mpox</v>
      </c>
      <c r="M482" s="55"/>
    </row>
    <row r="483">
      <c r="A483" s="53"/>
      <c r="B483" s="50" t="str">
        <f>IFERROR(__xludf.DUMMYFUNCTION("""COMPUTED_VALUE"""),"Immunocompromised                    ")</f>
        <v>Immunocompromised                    </v>
      </c>
      <c r="C483" s="53" t="str">
        <f>IFERROR(__xludf.DUMMYFUNCTION("""COMPUTED_VALUE"""),"NCIT:C14139")</f>
        <v>NCIT:C14139</v>
      </c>
      <c r="D483"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83" s="52" t="s">
        <v>19</v>
      </c>
      <c r="I483" s="52" t="s">
        <v>19</v>
      </c>
      <c r="J483" s="52" t="s">
        <v>19</v>
      </c>
      <c r="K483" s="52" t="str">
        <f t="shared" si="36"/>
        <v>Mpox</v>
      </c>
      <c r="M483" s="55"/>
    </row>
    <row r="484">
      <c r="A484" s="53"/>
      <c r="B484" s="50" t="str">
        <f>IFERROR(__xludf.DUMMYFUNCTION("""COMPUTED_VALUE"""),"Infectious disorder                    ")</f>
        <v>Infectious disorder                    </v>
      </c>
      <c r="C484" s="53" t="str">
        <f>IFERROR(__xludf.DUMMYFUNCTION("""COMPUTED_VALUE"""),"NCIT:C26726")</f>
        <v>NCIT:C26726</v>
      </c>
      <c r="D484"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84" s="52" t="s">
        <v>19</v>
      </c>
      <c r="I484" s="52" t="s">
        <v>19</v>
      </c>
      <c r="J484" s="52" t="s">
        <v>19</v>
      </c>
      <c r="K484" s="52" t="str">
        <f t="shared" si="36"/>
        <v>Mpox</v>
      </c>
      <c r="M484" s="55"/>
    </row>
    <row r="485">
      <c r="A485" s="53"/>
      <c r="B485" s="50" t="str">
        <f>IFERROR(__xludf.DUMMYFUNCTION("""COMPUTED_VALUE"""),"     Chancroid (Haemophilus ducreyi)               ")</f>
        <v>     Chancroid (Haemophilus ducreyi)               </v>
      </c>
      <c r="C485" s="53" t="str">
        <f>IFERROR(__xludf.DUMMYFUNCTION("""COMPUTED_VALUE"""),"DOID:13778")</f>
        <v>DOID:13778</v>
      </c>
      <c r="D485"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85" s="52" t="s">
        <v>19</v>
      </c>
      <c r="I485" s="52" t="s">
        <v>19</v>
      </c>
      <c r="J485" s="52" t="s">
        <v>19</v>
      </c>
      <c r="K485" s="52" t="str">
        <f t="shared" si="36"/>
        <v>Mpox</v>
      </c>
      <c r="M485" s="55"/>
    </row>
    <row r="486">
      <c r="A486" s="29"/>
      <c r="B486" s="50" t="str">
        <f>IFERROR(__xludf.DUMMYFUNCTION("""COMPUTED_VALUE"""),"     Chlamydia               ")</f>
        <v>     Chlamydia               </v>
      </c>
      <c r="C486" s="29" t="str">
        <f>IFERROR(__xludf.DUMMYFUNCTION("""COMPUTED_VALUE"""),"DOID:11263")</f>
        <v>DOID:11263</v>
      </c>
      <c r="D486" s="29" t="str">
        <f>IFERROR(__xludf.DUMMYFUNCTION("""COMPUTED_VALUE"""),"A commensal bacterial infectious disease that is caused by Chlamydia trachomatis.")</f>
        <v>A commensal bacterial infectious disease that is caused by Chlamydia trachomatis.</v>
      </c>
      <c r="E486" s="29"/>
      <c r="F486" s="29"/>
      <c r="G486" s="29"/>
      <c r="H486" s="54" t="s">
        <v>19</v>
      </c>
      <c r="I486" s="54" t="s">
        <v>19</v>
      </c>
      <c r="J486" s="54" t="s">
        <v>19</v>
      </c>
      <c r="K486" s="52" t="str">
        <f t="shared" si="36"/>
        <v>Mpox</v>
      </c>
      <c r="M486" s="55"/>
    </row>
    <row r="487">
      <c r="A487" s="29"/>
      <c r="B487" s="50" t="str">
        <f>IFERROR(__xludf.DUMMYFUNCTION("""COMPUTED_VALUE"""),"     Gonorrhea               ")</f>
        <v>     Gonorrhea               </v>
      </c>
      <c r="C487" s="29" t="str">
        <f>IFERROR(__xludf.DUMMYFUNCTION("""COMPUTED_VALUE"""),"DOID:7551")</f>
        <v>DOID:7551</v>
      </c>
      <c r="D487"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487" s="29"/>
      <c r="F487" s="29"/>
      <c r="G487" s="29"/>
      <c r="H487" s="54" t="s">
        <v>19</v>
      </c>
      <c r="I487" s="54" t="s">
        <v>19</v>
      </c>
      <c r="J487" s="54" t="s">
        <v>19</v>
      </c>
      <c r="K487" s="52" t="str">
        <f t="shared" si="36"/>
        <v>Mpox</v>
      </c>
      <c r="M487" s="55"/>
    </row>
    <row r="488">
      <c r="A488" s="29"/>
      <c r="B488" s="50" t="str">
        <f>IFERROR(__xludf.DUMMYFUNCTION("""COMPUTED_VALUE"""),"     Herpes Simplex Virus infection (HSV)               ")</f>
        <v>     Herpes Simplex Virus infection (HSV)               </v>
      </c>
      <c r="C488" s="29" t="str">
        <f>IFERROR(__xludf.DUMMYFUNCTION("""COMPUTED_VALUE"""),"NCIT:C155871")</f>
        <v>NCIT:C155871</v>
      </c>
      <c r="D488" s="29" t="str">
        <f>IFERROR(__xludf.DUMMYFUNCTION("""COMPUTED_VALUE"""),"An infection that is caused by herpes simplex virus.")</f>
        <v>An infection that is caused by herpes simplex virus.</v>
      </c>
      <c r="E488" s="29"/>
      <c r="F488" s="29"/>
      <c r="G488" s="29"/>
      <c r="H488" s="54" t="s">
        <v>19</v>
      </c>
      <c r="I488" s="54" t="s">
        <v>19</v>
      </c>
      <c r="J488" s="54" t="s">
        <v>19</v>
      </c>
      <c r="K488" s="52" t="str">
        <f t="shared" si="36"/>
        <v>Mpox</v>
      </c>
      <c r="M488" s="55"/>
    </row>
    <row r="489">
      <c r="A489" s="29"/>
      <c r="B489" s="50" t="str">
        <f>IFERROR(__xludf.DUMMYFUNCTION("""COMPUTED_VALUE"""),"     Human immunodeficiency virus (HIV)               ")</f>
        <v>     Human immunodeficiency virus (HIV)               </v>
      </c>
      <c r="C489" s="29" t="str">
        <f>IFERROR(__xludf.DUMMYFUNCTION("""COMPUTED_VALUE"""),"MONDO:0005109")</f>
        <v>MONDO:0005109</v>
      </c>
      <c r="D489" s="29" t="str">
        <f>IFERROR(__xludf.DUMMYFUNCTION("""COMPUTED_VALUE"""),"An infection caused by the human immunodeficiency virus.")</f>
        <v>An infection caused by the human immunodeficiency virus.</v>
      </c>
      <c r="E489" s="29"/>
      <c r="F489" s="29"/>
      <c r="G489" s="29"/>
      <c r="H489" s="54" t="s">
        <v>19</v>
      </c>
      <c r="I489" s="54" t="s">
        <v>19</v>
      </c>
      <c r="J489" s="54" t="s">
        <v>19</v>
      </c>
      <c r="K489" s="52" t="str">
        <f t="shared" si="36"/>
        <v>Mpox</v>
      </c>
      <c r="M489" s="55"/>
    </row>
    <row r="490">
      <c r="A490" s="29"/>
      <c r="B490" s="50" t="str">
        <f>IFERROR(__xludf.DUMMYFUNCTION("""COMPUTED_VALUE"""),"          Acquired immunodeficiency syndrome (AIDS)          ")</f>
        <v>          Acquired immunodeficiency syndrome (AIDS)          </v>
      </c>
      <c r="C490" s="29" t="str">
        <f>IFERROR(__xludf.DUMMYFUNCTION("""COMPUTED_VALUE"""),"MONDO:0012268")</f>
        <v>MONDO:0012268</v>
      </c>
      <c r="D490"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E490" s="29"/>
      <c r="F490" s="29"/>
      <c r="G490" s="29"/>
      <c r="H490" s="54" t="s">
        <v>19</v>
      </c>
      <c r="I490" s="54" t="s">
        <v>19</v>
      </c>
      <c r="J490" s="54" t="s">
        <v>19</v>
      </c>
      <c r="K490" s="52" t="str">
        <f t="shared" si="36"/>
        <v>Mpox</v>
      </c>
      <c r="M490" s="55"/>
    </row>
    <row r="491">
      <c r="A491" s="29"/>
      <c r="B491" s="50" t="str">
        <f>IFERROR(__xludf.DUMMYFUNCTION("""COMPUTED_VALUE"""),"     Human papilloma virus infection (HPV)               ")</f>
        <v>     Human papilloma virus infection (HPV)               </v>
      </c>
      <c r="C491" s="29" t="str">
        <f>IFERROR(__xludf.DUMMYFUNCTION("""COMPUTED_VALUE"""),"MONDO:0005161")</f>
        <v>MONDO:0005161</v>
      </c>
      <c r="D491" s="29" t="str">
        <f>IFERROR(__xludf.DUMMYFUNCTION("""COMPUTED_VALUE"""),"An infectious process caused by a human papillomavirus. This infection can cause abnormal tissue growth.")</f>
        <v>An infectious process caused by a human papillomavirus. This infection can cause abnormal tissue growth.</v>
      </c>
      <c r="E491" s="29"/>
      <c r="F491" s="29"/>
      <c r="G491" s="29"/>
      <c r="H491" s="54" t="s">
        <v>19</v>
      </c>
      <c r="I491" s="54" t="s">
        <v>19</v>
      </c>
      <c r="J491" s="54" t="s">
        <v>19</v>
      </c>
      <c r="K491" s="52" t="str">
        <f t="shared" si="36"/>
        <v>Mpox</v>
      </c>
      <c r="M491" s="55"/>
    </row>
    <row r="492">
      <c r="A492" s="29"/>
      <c r="B492" s="50" t="str">
        <f>IFERROR(__xludf.DUMMYFUNCTION("""COMPUTED_VALUE"""),"     Lymphogranuloma venereum               ")</f>
        <v>     Lymphogranuloma venereum               </v>
      </c>
      <c r="C492" s="29" t="str">
        <f>IFERROR(__xludf.DUMMYFUNCTION("""COMPUTED_VALUE"""),"DOID:13819")</f>
        <v>DOID:13819</v>
      </c>
      <c r="D492"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492" s="29"/>
      <c r="F492" s="29"/>
      <c r="G492" s="29"/>
      <c r="H492" s="54" t="s">
        <v>19</v>
      </c>
      <c r="I492" s="54" t="s">
        <v>19</v>
      </c>
      <c r="J492" s="54" t="s">
        <v>19</v>
      </c>
      <c r="K492" s="52" t="str">
        <f t="shared" si="36"/>
        <v>Mpox</v>
      </c>
      <c r="M492" s="55"/>
    </row>
    <row r="493">
      <c r="A493" s="29"/>
      <c r="B493" s="50" t="str">
        <f>IFERROR(__xludf.DUMMYFUNCTION("""COMPUTED_VALUE"""),"     Mycoplsma genitalium               ")</f>
        <v>     Mycoplsma genitalium               </v>
      </c>
      <c r="C493" s="29" t="str">
        <f>IFERROR(__xludf.DUMMYFUNCTION("""COMPUTED_VALUE"""),"NCBITaxon:2097")</f>
        <v>NCBITaxon:2097</v>
      </c>
      <c r="D493"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493" s="29"/>
      <c r="F493" s="29"/>
      <c r="G493" s="29"/>
      <c r="H493" s="54" t="s">
        <v>19</v>
      </c>
      <c r="I493" s="54" t="s">
        <v>19</v>
      </c>
      <c r="J493" s="54" t="s">
        <v>19</v>
      </c>
      <c r="K493" s="52" t="str">
        <f t="shared" si="36"/>
        <v>Mpox</v>
      </c>
      <c r="M493" s="55"/>
    </row>
    <row r="494">
      <c r="A494" s="29"/>
      <c r="B494" s="50" t="str">
        <f>IFERROR(__xludf.DUMMYFUNCTION("""COMPUTED_VALUE"""),"     Syphilis               ")</f>
        <v>     Syphilis               </v>
      </c>
      <c r="C494" s="29" t="str">
        <f>IFERROR(__xludf.DUMMYFUNCTION("""COMPUTED_VALUE"""),"DOID:4166")</f>
        <v>DOID:4166</v>
      </c>
      <c r="D494"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494" s="29"/>
      <c r="F494" s="29"/>
      <c r="G494" s="29"/>
      <c r="H494" s="54" t="s">
        <v>19</v>
      </c>
      <c r="I494" s="54" t="s">
        <v>19</v>
      </c>
      <c r="J494" s="54" t="s">
        <v>19</v>
      </c>
      <c r="K494" s="52" t="str">
        <f t="shared" si="36"/>
        <v>Mpox</v>
      </c>
      <c r="M494" s="55"/>
    </row>
    <row r="495">
      <c r="A495" s="29"/>
      <c r="B495" s="50" t="str">
        <f>IFERROR(__xludf.DUMMYFUNCTION("""COMPUTED_VALUE"""),"     Trichomoniasis               ")</f>
        <v>     Trichomoniasis               </v>
      </c>
      <c r="C495" s="29" t="str">
        <f>IFERROR(__xludf.DUMMYFUNCTION("""COMPUTED_VALUE"""),"DOID:1947")</f>
        <v>DOID:1947</v>
      </c>
      <c r="D495"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495" s="29"/>
      <c r="F495" s="29"/>
      <c r="G495" s="29"/>
      <c r="H495" s="54" t="s">
        <v>19</v>
      </c>
      <c r="I495" s="54" t="s">
        <v>19</v>
      </c>
      <c r="J495" s="54" t="s">
        <v>19</v>
      </c>
      <c r="K495" s="52" t="str">
        <f t="shared" si="36"/>
        <v>Mpox</v>
      </c>
      <c r="M495" s="55"/>
    </row>
    <row r="496">
      <c r="A496" s="29"/>
      <c r="B496" s="50" t="str">
        <f>IFERROR(__xludf.DUMMYFUNCTION("""COMPUTED_VALUE"""),"Lupus                    ")</f>
        <v>Lupus                    </v>
      </c>
      <c r="C496" s="29" t="str">
        <f>IFERROR(__xludf.DUMMYFUNCTION("""COMPUTED_VALUE"""),"MONDO:0004670")</f>
        <v>MONDO:0004670</v>
      </c>
      <c r="D496"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496" s="29"/>
      <c r="F496" s="29"/>
      <c r="G496" s="29"/>
      <c r="H496" s="54" t="s">
        <v>19</v>
      </c>
      <c r="I496" s="54" t="s">
        <v>19</v>
      </c>
      <c r="J496" s="54" t="s">
        <v>19</v>
      </c>
      <c r="K496" s="52" t="str">
        <f t="shared" si="36"/>
        <v>Mpox</v>
      </c>
    </row>
    <row r="497">
      <c r="A497" s="29"/>
      <c r="B497" s="50" t="str">
        <f>IFERROR(__xludf.DUMMYFUNCTION("""COMPUTED_VALUE"""),"Pregnancy                    ")</f>
        <v>Pregnancy                    </v>
      </c>
      <c r="C497" s="29" t="str">
        <f>IFERROR(__xludf.DUMMYFUNCTION("""COMPUTED_VALUE"""),"NCIT:C25742")</f>
        <v>NCIT:C25742</v>
      </c>
      <c r="D497"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497" s="29"/>
      <c r="F497" s="29"/>
      <c r="G497" s="29"/>
      <c r="H497" s="54" t="s">
        <v>19</v>
      </c>
      <c r="I497" s="54" t="s">
        <v>19</v>
      </c>
      <c r="J497" s="54" t="s">
        <v>19</v>
      </c>
      <c r="K497" s="52" t="str">
        <f t="shared" si="36"/>
        <v>Mpox</v>
      </c>
      <c r="M497" s="56"/>
    </row>
    <row r="498">
      <c r="A498" s="29"/>
      <c r="B498" s="50" t="str">
        <f>IFERROR(__xludf.DUMMYFUNCTION("""COMPUTED_VALUE"""),"Prior therapy                    ")</f>
        <v>Prior therapy                    </v>
      </c>
      <c r="C498" s="29" t="str">
        <f>IFERROR(__xludf.DUMMYFUNCTION("""COMPUTED_VALUE"""),"NCIT:C16124")</f>
        <v>NCIT:C16124</v>
      </c>
      <c r="D498"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498" s="29"/>
      <c r="F498" s="29"/>
      <c r="G498" s="29"/>
      <c r="H498" s="54" t="s">
        <v>19</v>
      </c>
      <c r="I498" s="54" t="s">
        <v>19</v>
      </c>
      <c r="J498" s="54" t="s">
        <v>19</v>
      </c>
      <c r="K498" s="52" t="str">
        <f t="shared" si="36"/>
        <v>Mpox</v>
      </c>
      <c r="M498" s="55"/>
    </row>
    <row r="499">
      <c r="A499" s="29"/>
      <c r="B499" s="50" t="str">
        <f>IFERROR(__xludf.DUMMYFUNCTION("""COMPUTED_VALUE"""),"     Cancer treatment               ")</f>
        <v>     Cancer treatment               </v>
      </c>
      <c r="C499" s="29" t="str">
        <f>IFERROR(__xludf.DUMMYFUNCTION("""COMPUTED_VALUE"""),"NCIT:C16212")</f>
        <v>NCIT:C16212</v>
      </c>
      <c r="D499" s="29" t="str">
        <f>IFERROR(__xludf.DUMMYFUNCTION("""COMPUTED_VALUE"""),"Any intervention for management of a malignant neoplasm.")</f>
        <v>Any intervention for management of a malignant neoplasm.</v>
      </c>
      <c r="E499" s="29"/>
      <c r="F499" s="29"/>
      <c r="G499" s="29"/>
      <c r="H499" s="54" t="s">
        <v>19</v>
      </c>
      <c r="I499" s="54" t="s">
        <v>19</v>
      </c>
      <c r="J499" s="54" t="s">
        <v>19</v>
      </c>
      <c r="K499" s="52" t="str">
        <f t="shared" si="36"/>
        <v>Mpox</v>
      </c>
      <c r="M499" s="55"/>
    </row>
    <row r="500">
      <c r="A500" s="29"/>
      <c r="B500" s="50" t="str">
        <f>IFERROR(__xludf.DUMMYFUNCTION("""COMPUTED_VALUE"""),"          Chemotherapy          ")</f>
        <v>          Chemotherapy          </v>
      </c>
      <c r="C500" s="29" t="str">
        <f>IFERROR(__xludf.DUMMYFUNCTION("""COMPUTED_VALUE"""),"NCIT:C15632")</f>
        <v>NCIT:C15632</v>
      </c>
      <c r="D500" s="29" t="str">
        <f>IFERROR(__xludf.DUMMYFUNCTION("""COMPUTED_VALUE"""),"The use of synthetic or naturally-occurring chemicals for the treatment of diseases.")</f>
        <v>The use of synthetic or naturally-occurring chemicals for the treatment of diseases.</v>
      </c>
      <c r="E500" s="29"/>
      <c r="F500" s="29"/>
      <c r="G500" s="29"/>
      <c r="H500" s="54" t="s">
        <v>19</v>
      </c>
      <c r="I500" s="54" t="s">
        <v>19</v>
      </c>
      <c r="J500" s="54" t="s">
        <v>19</v>
      </c>
      <c r="K500" s="52" t="str">
        <f t="shared" si="36"/>
        <v>Mpox</v>
      </c>
      <c r="M500" s="55"/>
    </row>
    <row r="501">
      <c r="A501" s="29"/>
      <c r="B501" s="50" t="str">
        <f>IFERROR(__xludf.DUMMYFUNCTION("""COMPUTED_VALUE"""),"     HIV and Antiretroviral therapy (ART)               ")</f>
        <v>     HIV and Antiretroviral therapy (ART)               </v>
      </c>
      <c r="C501" s="29" t="str">
        <f>IFERROR(__xludf.DUMMYFUNCTION("""COMPUTED_VALUE"""),"NCIT:C16118")</f>
        <v>NCIT:C16118</v>
      </c>
      <c r="D501"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01" s="29"/>
      <c r="F501" s="29"/>
      <c r="G501" s="29"/>
      <c r="H501" s="54" t="s">
        <v>19</v>
      </c>
      <c r="I501" s="54" t="s">
        <v>19</v>
      </c>
      <c r="J501" s="54" t="s">
        <v>19</v>
      </c>
      <c r="K501" s="52" t="str">
        <f t="shared" si="36"/>
        <v>Mpox</v>
      </c>
      <c r="M501" s="55"/>
    </row>
    <row r="502">
      <c r="A502" s="29"/>
      <c r="B502" s="50" t="str">
        <f>IFERROR(__xludf.DUMMYFUNCTION("""COMPUTED_VALUE"""),"     Steroid               ")</f>
        <v>     Steroid               </v>
      </c>
      <c r="C502" s="29" t="str">
        <f>IFERROR(__xludf.DUMMYFUNCTION("""COMPUTED_VALUE"""),"CHEBI:35341")</f>
        <v>CHEBI:35341</v>
      </c>
      <c r="D502"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02" s="29"/>
      <c r="F502" s="29"/>
      <c r="G502" s="29"/>
      <c r="H502" s="54"/>
      <c r="I502" s="54"/>
      <c r="J502" s="54"/>
      <c r="K502" s="53" t="s">
        <v>31</v>
      </c>
      <c r="L502" s="29" t="str">
        <f>LEFT(A502, LEN(A502) - 5)
</f>
        <v>#VALUE!</v>
      </c>
      <c r="M502" s="58" t="s">
        <v>32</v>
      </c>
    </row>
    <row r="503">
      <c r="A503" s="29"/>
      <c r="B503" s="50" t="str">
        <f>IFERROR(__xludf.DUMMYFUNCTION("""COMPUTED_VALUE"""),"Transplant                    ")</f>
        <v>Transplant                    </v>
      </c>
      <c r="C503" s="29" t="str">
        <f>IFERROR(__xludf.DUMMYFUNCTION("""COMPUTED_VALUE"""),"NCIT:C159659")</f>
        <v>NCIT:C159659</v>
      </c>
      <c r="D503" s="29" t="str">
        <f>IFERROR(__xludf.DUMMYFUNCTION("""COMPUTED_VALUE"""),"An individual receiving a transplant.")</f>
        <v>An individual receiving a transplant.</v>
      </c>
      <c r="E503" s="29"/>
      <c r="F503" s="29"/>
      <c r="G503" s="29"/>
      <c r="H503" s="54" t="s">
        <v>19</v>
      </c>
      <c r="I503" s="54" t="s">
        <v>19</v>
      </c>
      <c r="J503" s="54" t="s">
        <v>19</v>
      </c>
      <c r="K503" s="52" t="str">
        <f t="shared" ref="K503:K527" si="37">K502</f>
        <v>International</v>
      </c>
      <c r="M503" s="55"/>
    </row>
    <row r="504">
      <c r="A504" s="29" t="str">
        <f>IFERROR(__xludf.DUMMYFUNCTION("""COMPUTED_VALUE"""),"pre-existing conditions and risk factors international menu")</f>
        <v>pre-existing conditions and risk factors international menu</v>
      </c>
      <c r="B504" s="50" t="str">
        <f>IFERROR(__xludf.DUMMYFUNCTION("""COMPUTED_VALUE"""),"                    ")</f>
        <v>                    </v>
      </c>
      <c r="C504" s="29"/>
      <c r="D504" s="29" t="str">
        <f>IFERROR(__xludf.DUMMYFUNCTION("""COMPUTED_VALUE"""),"")</f>
        <v/>
      </c>
      <c r="E504" s="29"/>
      <c r="F504" s="29"/>
      <c r="G504" s="29"/>
      <c r="H504" s="54" t="s">
        <v>19</v>
      </c>
      <c r="I504" s="54" t="s">
        <v>19</v>
      </c>
      <c r="J504" s="54" t="s">
        <v>19</v>
      </c>
      <c r="K504" s="52" t="str">
        <f t="shared" si="37"/>
        <v>International</v>
      </c>
      <c r="M504" s="55"/>
    </row>
    <row r="505">
      <c r="A505" s="29"/>
      <c r="B505" s="50" t="str">
        <f>IFERROR(__xludf.DUMMYFUNCTION("""COMPUTED_VALUE"""),"Cancer [MONDO:0004992]                    ")</f>
        <v>Cancer [MONDO:0004992]                    </v>
      </c>
      <c r="C505" s="29" t="str">
        <f>IFERROR(__xludf.DUMMYFUNCTION("""COMPUTED_VALUE"""),"MONDO:0004992")</f>
        <v>MONDO:0004992</v>
      </c>
      <c r="D505"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505" s="29"/>
      <c r="F505" s="29"/>
      <c r="G505" s="29"/>
      <c r="H505" s="54" t="s">
        <v>19</v>
      </c>
      <c r="I505" s="54" t="s">
        <v>19</v>
      </c>
      <c r="J505" s="54" t="s">
        <v>19</v>
      </c>
      <c r="K505" s="52" t="str">
        <f t="shared" si="37"/>
        <v>International</v>
      </c>
      <c r="M505" s="55"/>
    </row>
    <row r="506">
      <c r="A506" s="29"/>
      <c r="B506" s="50" t="str">
        <f>IFERROR(__xludf.DUMMYFUNCTION("""COMPUTED_VALUE"""),"Diabetes mellitus (diabetes) [HP:0000819]                    ")</f>
        <v>Diabetes mellitus (diabetes) [HP:0000819]                    </v>
      </c>
      <c r="C506" s="29" t="str">
        <f>IFERROR(__xludf.DUMMYFUNCTION("""COMPUTED_VALUE"""),"HP:0000819")</f>
        <v>HP:0000819</v>
      </c>
      <c r="D506" s="29" t="str">
        <f>IFERROR(__xludf.DUMMYFUNCTION("""COMPUTED_VALUE"""),"A group of abnormalities characterized by hyperglycemia and glucose intolerance.")</f>
        <v>A group of abnormalities characterized by hyperglycemia and glucose intolerance.</v>
      </c>
      <c r="E506" s="29"/>
      <c r="F506" s="29"/>
      <c r="G506" s="29"/>
      <c r="H506" s="54" t="s">
        <v>19</v>
      </c>
      <c r="I506" s="54" t="s">
        <v>19</v>
      </c>
      <c r="J506" s="54" t="s">
        <v>19</v>
      </c>
      <c r="K506" s="52" t="str">
        <f t="shared" si="37"/>
        <v>International</v>
      </c>
      <c r="M506" s="55"/>
    </row>
    <row r="507">
      <c r="A507" s="29"/>
      <c r="B507" s="50" t="str">
        <f>IFERROR(__xludf.DUMMYFUNCTION("""COMPUTED_VALUE"""),"     Type I diabetes mellitus (T1D) [HP:0100651]               ")</f>
        <v>     Type I diabetes mellitus (T1D) [HP:0100651]               </v>
      </c>
      <c r="C507" s="29" t="str">
        <f>IFERROR(__xludf.DUMMYFUNCTION("""COMPUTED_VALUE"""),"HP:0100651")</f>
        <v>HP:0100651</v>
      </c>
      <c r="D507"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507" s="29"/>
      <c r="F507" s="29"/>
      <c r="G507" s="29"/>
      <c r="H507" s="54" t="s">
        <v>19</v>
      </c>
      <c r="I507" s="54" t="s">
        <v>19</v>
      </c>
      <c r="J507" s="54" t="s">
        <v>19</v>
      </c>
      <c r="K507" s="52" t="str">
        <f t="shared" si="37"/>
        <v>International</v>
      </c>
      <c r="M507" s="55"/>
    </row>
    <row r="508">
      <c r="A508" s="29"/>
      <c r="B508" s="50" t="str">
        <f>IFERROR(__xludf.DUMMYFUNCTION("""COMPUTED_VALUE"""),"     Type II diabetes mellitus (T2D) [HP:0005978]               ")</f>
        <v>     Type II diabetes mellitus (T2D) [HP:0005978]               </v>
      </c>
      <c r="C508" s="29" t="str">
        <f>IFERROR(__xludf.DUMMYFUNCTION("""COMPUTED_VALUE"""),"HP:0005978")</f>
        <v>HP:0005978</v>
      </c>
      <c r="D508"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508" s="29"/>
      <c r="F508" s="29"/>
      <c r="G508" s="29"/>
      <c r="H508" s="54" t="s">
        <v>19</v>
      </c>
      <c r="I508" s="54" t="s">
        <v>19</v>
      </c>
      <c r="J508" s="54" t="s">
        <v>19</v>
      </c>
      <c r="K508" s="52" t="str">
        <f t="shared" si="37"/>
        <v>International</v>
      </c>
      <c r="M508" s="55"/>
    </row>
    <row r="509">
      <c r="A509" s="29"/>
      <c r="B509" s="50" t="str">
        <f>IFERROR(__xludf.DUMMYFUNCTION("""COMPUTED_VALUE"""),"Immunocompromised [NCIT:C14139]                    ")</f>
        <v>Immunocompromised [NCIT:C14139]                    </v>
      </c>
      <c r="C509" s="29" t="str">
        <f>IFERROR(__xludf.DUMMYFUNCTION("""COMPUTED_VALUE"""),"NCIT:C14139")</f>
        <v>NCIT:C14139</v>
      </c>
      <c r="D509"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509" s="29"/>
      <c r="F509" s="29"/>
      <c r="G509" s="29"/>
      <c r="H509" s="54" t="s">
        <v>19</v>
      </c>
      <c r="I509" s="54" t="s">
        <v>19</v>
      </c>
      <c r="J509" s="54" t="s">
        <v>19</v>
      </c>
      <c r="K509" s="52" t="str">
        <f t="shared" si="37"/>
        <v>International</v>
      </c>
      <c r="M509" s="55"/>
    </row>
    <row r="510">
      <c r="A510" s="29"/>
      <c r="B510" s="50" t="str">
        <f>IFERROR(__xludf.DUMMYFUNCTION("""COMPUTED_VALUE"""),"Infectious disorder [NCIT:C26726]                    ")</f>
        <v>Infectious disorder [NCIT:C26726]                    </v>
      </c>
      <c r="C510" s="29" t="str">
        <f>IFERROR(__xludf.DUMMYFUNCTION("""COMPUTED_VALUE"""),"NCIT:C26726")</f>
        <v>NCIT:C26726</v>
      </c>
      <c r="D510"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510" s="29"/>
      <c r="F510" s="29"/>
      <c r="G510" s="29"/>
      <c r="H510" s="54" t="s">
        <v>19</v>
      </c>
      <c r="I510" s="54" t="s">
        <v>19</v>
      </c>
      <c r="J510" s="54" t="s">
        <v>19</v>
      </c>
      <c r="K510" s="52" t="str">
        <f t="shared" si="37"/>
        <v>International</v>
      </c>
      <c r="M510" s="55"/>
    </row>
    <row r="511">
      <c r="A511" s="29"/>
      <c r="B511" s="50" t="str">
        <f>IFERROR(__xludf.DUMMYFUNCTION("""COMPUTED_VALUE"""),"     Chancroid (Haemophilus ducreyi) [DOID:13778]               ")</f>
        <v>     Chancroid (Haemophilus ducreyi) [DOID:13778]               </v>
      </c>
      <c r="C511" s="29" t="str">
        <f>IFERROR(__xludf.DUMMYFUNCTION("""COMPUTED_VALUE"""),"DOID:13778")</f>
        <v>DOID:13778</v>
      </c>
      <c r="D511"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511" s="29"/>
      <c r="F511" s="29"/>
      <c r="G511" s="29"/>
      <c r="H511" s="54" t="s">
        <v>19</v>
      </c>
      <c r="I511" s="54" t="s">
        <v>19</v>
      </c>
      <c r="J511" s="54" t="s">
        <v>19</v>
      </c>
      <c r="K511" s="52" t="str">
        <f t="shared" si="37"/>
        <v>International</v>
      </c>
      <c r="M511" s="55"/>
    </row>
    <row r="512">
      <c r="A512" s="53"/>
      <c r="B512" s="50" t="str">
        <f>IFERROR(__xludf.DUMMYFUNCTION("""COMPUTED_VALUE"""),"     Chlamydia [DOID:11263]               ")</f>
        <v>     Chlamydia [DOID:11263]               </v>
      </c>
      <c r="C512" s="53" t="str">
        <f>IFERROR(__xludf.DUMMYFUNCTION("""COMPUTED_VALUE"""),"DOID:11263")</f>
        <v>DOID:11263</v>
      </c>
      <c r="D512" s="29" t="str">
        <f>IFERROR(__xludf.DUMMYFUNCTION("""COMPUTED_VALUE"""),"A commensal bacterial infectious disease that is caused by Chlamydia trachomatis.")</f>
        <v>A commensal bacterial infectious disease that is caused by Chlamydia trachomatis.</v>
      </c>
      <c r="H512" s="54" t="s">
        <v>19</v>
      </c>
      <c r="I512" s="54" t="s">
        <v>19</v>
      </c>
      <c r="J512" s="54" t="s">
        <v>19</v>
      </c>
      <c r="K512" s="52" t="str">
        <f t="shared" si="37"/>
        <v>International</v>
      </c>
      <c r="M512" s="55"/>
    </row>
    <row r="513">
      <c r="A513" s="53"/>
      <c r="B513" s="50" t="str">
        <f>IFERROR(__xludf.DUMMYFUNCTION("""COMPUTED_VALUE"""),"     Gonorrhea [DOID:7551]               ")</f>
        <v>     Gonorrhea [DOID:7551]               </v>
      </c>
      <c r="C513" s="53" t="str">
        <f>IFERROR(__xludf.DUMMYFUNCTION("""COMPUTED_VALUE"""),"DOID:7551")</f>
        <v>DOID:7551</v>
      </c>
      <c r="D513"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513" s="52" t="s">
        <v>19</v>
      </c>
      <c r="I513" s="52" t="s">
        <v>19</v>
      </c>
      <c r="J513" s="52" t="s">
        <v>19</v>
      </c>
      <c r="K513" s="52" t="str">
        <f t="shared" si="37"/>
        <v>International</v>
      </c>
      <c r="M513" s="55"/>
    </row>
    <row r="514">
      <c r="A514" s="53"/>
      <c r="B514" s="50" t="str">
        <f>IFERROR(__xludf.DUMMYFUNCTION("""COMPUTED_VALUE"""),"     Herpes Simplex Virus infection (HSV) [NCIT:C155871]               ")</f>
        <v>     Herpes Simplex Virus infection (HSV) [NCIT:C155871]               </v>
      </c>
      <c r="C514" s="53" t="str">
        <f>IFERROR(__xludf.DUMMYFUNCTION("""COMPUTED_VALUE"""),"NCIT:C155871")</f>
        <v>NCIT:C155871</v>
      </c>
      <c r="D514" s="29" t="str">
        <f>IFERROR(__xludf.DUMMYFUNCTION("""COMPUTED_VALUE"""),"An infection that is caused by herpes simplex virus.")</f>
        <v>An infection that is caused by herpes simplex virus.</v>
      </c>
      <c r="H514" s="52" t="s">
        <v>19</v>
      </c>
      <c r="I514" s="52" t="s">
        <v>19</v>
      </c>
      <c r="J514" s="52" t="s">
        <v>19</v>
      </c>
      <c r="K514" s="52" t="str">
        <f t="shared" si="37"/>
        <v>International</v>
      </c>
      <c r="M514" s="55"/>
    </row>
    <row r="515">
      <c r="A515" s="53"/>
      <c r="B515" s="50" t="str">
        <f>IFERROR(__xludf.DUMMYFUNCTION("""COMPUTED_VALUE"""),"     Human immunodeficiency virus (HIV) [MONDO:0005109]               ")</f>
        <v>     Human immunodeficiency virus (HIV) [MONDO:0005109]               </v>
      </c>
      <c r="C515" s="53" t="str">
        <f>IFERROR(__xludf.DUMMYFUNCTION("""COMPUTED_VALUE"""),"MONDO:0005109")</f>
        <v>MONDO:0005109</v>
      </c>
      <c r="D515" s="29" t="str">
        <f>IFERROR(__xludf.DUMMYFUNCTION("""COMPUTED_VALUE"""),"An infection caused by the human immunodeficiency virus.")</f>
        <v>An infection caused by the human immunodeficiency virus.</v>
      </c>
      <c r="H515" s="52" t="s">
        <v>19</v>
      </c>
      <c r="I515" s="52" t="s">
        <v>19</v>
      </c>
      <c r="J515" s="52" t="s">
        <v>19</v>
      </c>
      <c r="K515" s="52" t="str">
        <f t="shared" si="37"/>
        <v>International</v>
      </c>
      <c r="M515" s="55"/>
    </row>
    <row r="516">
      <c r="A516" s="53"/>
      <c r="B516" s="50" t="str">
        <f>IFERROR(__xludf.DUMMYFUNCTION("""COMPUTED_VALUE"""),"          Acquired immunodeficiency syndrome (AIDS) [MONDO:0012268]          ")</f>
        <v>          Acquired immunodeficiency syndrome (AIDS) [MONDO:0012268]          </v>
      </c>
      <c r="C516" s="53" t="str">
        <f>IFERROR(__xludf.DUMMYFUNCTION("""COMPUTED_VALUE"""),"MONDO:0012268")</f>
        <v>MONDO:0012268</v>
      </c>
      <c r="D516"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H516" s="52" t="s">
        <v>19</v>
      </c>
      <c r="I516" s="52" t="s">
        <v>19</v>
      </c>
      <c r="J516" s="52" t="s">
        <v>19</v>
      </c>
      <c r="K516" s="52" t="str">
        <f t="shared" si="37"/>
        <v>International</v>
      </c>
      <c r="M516" s="55"/>
    </row>
    <row r="517">
      <c r="A517" s="53"/>
      <c r="B517" s="50" t="str">
        <f>IFERROR(__xludf.DUMMYFUNCTION("""COMPUTED_VALUE"""),"     Human papilloma virus infection (HPV) [MONDO:0005161]               ")</f>
        <v>     Human papilloma virus infection (HPV) [MONDO:0005161]               </v>
      </c>
      <c r="C517" s="53" t="str">
        <f>IFERROR(__xludf.DUMMYFUNCTION("""COMPUTED_VALUE"""),"MONDO:0005161")</f>
        <v>MONDO:0005161</v>
      </c>
      <c r="D517" s="29" t="str">
        <f>IFERROR(__xludf.DUMMYFUNCTION("""COMPUTED_VALUE"""),"An infectious process caused by a human papillomavirus. This infection can cause abnormal tissue growth.")</f>
        <v>An infectious process caused by a human papillomavirus. This infection can cause abnormal tissue growth.</v>
      </c>
      <c r="H517" s="52" t="s">
        <v>19</v>
      </c>
      <c r="I517" s="52" t="s">
        <v>19</v>
      </c>
      <c r="J517" s="52" t="s">
        <v>19</v>
      </c>
      <c r="K517" s="52" t="str">
        <f t="shared" si="37"/>
        <v>International</v>
      </c>
      <c r="M517" s="55"/>
    </row>
    <row r="518">
      <c r="A518" s="53"/>
      <c r="B518" s="50" t="str">
        <f>IFERROR(__xludf.DUMMYFUNCTION("""COMPUTED_VALUE"""),"     Lymphogranuloma venereum [DOID:13819]               ")</f>
        <v>     Lymphogranuloma venereum [DOID:13819]               </v>
      </c>
      <c r="C518" s="53" t="str">
        <f>IFERROR(__xludf.DUMMYFUNCTION("""COMPUTED_VALUE"""),"DOID:13819")</f>
        <v>DOID:13819</v>
      </c>
      <c r="D518"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518" s="52" t="s">
        <v>19</v>
      </c>
      <c r="I518" s="52" t="s">
        <v>19</v>
      </c>
      <c r="J518" s="52" t="s">
        <v>19</v>
      </c>
      <c r="K518" s="52" t="str">
        <f t="shared" si="37"/>
        <v>International</v>
      </c>
      <c r="M518" s="55"/>
    </row>
    <row r="519">
      <c r="A519" s="53"/>
      <c r="B519" s="50" t="str">
        <f>IFERROR(__xludf.DUMMYFUNCTION("""COMPUTED_VALUE"""),"     Mycoplsma genitalium [NCBITaxon:2097]               ")</f>
        <v>     Mycoplsma genitalium [NCBITaxon:2097]               </v>
      </c>
      <c r="C519" s="53" t="str">
        <f>IFERROR(__xludf.DUMMYFUNCTION("""COMPUTED_VALUE"""),"NCBITaxon:2097")</f>
        <v>NCBITaxon:2097</v>
      </c>
      <c r="D519"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519" s="52" t="s">
        <v>19</v>
      </c>
      <c r="I519" s="52" t="s">
        <v>19</v>
      </c>
      <c r="J519" s="52" t="s">
        <v>19</v>
      </c>
      <c r="K519" s="52" t="str">
        <f t="shared" si="37"/>
        <v>International</v>
      </c>
      <c r="M519" s="55"/>
    </row>
    <row r="520">
      <c r="A520" s="29"/>
      <c r="B520" s="50" t="str">
        <f>IFERROR(__xludf.DUMMYFUNCTION("""COMPUTED_VALUE"""),"     Syphilis [DOID:4166]               ")</f>
        <v>     Syphilis [DOID:4166]               </v>
      </c>
      <c r="C520" s="29" t="str">
        <f>IFERROR(__xludf.DUMMYFUNCTION("""COMPUTED_VALUE"""),"DOID:4166")</f>
        <v>DOID:4166</v>
      </c>
      <c r="D520"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520" s="29"/>
      <c r="F520" s="29"/>
      <c r="G520" s="29"/>
      <c r="H520" s="54" t="s">
        <v>19</v>
      </c>
      <c r="I520" s="54" t="s">
        <v>19</v>
      </c>
      <c r="J520" s="54" t="s">
        <v>19</v>
      </c>
      <c r="K520" s="52" t="str">
        <f t="shared" si="37"/>
        <v>International</v>
      </c>
      <c r="M520" s="55"/>
    </row>
    <row r="521">
      <c r="A521" s="29"/>
      <c r="B521" s="50" t="str">
        <f>IFERROR(__xludf.DUMMYFUNCTION("""COMPUTED_VALUE"""),"     Trichomoniasis [DOID:1947]               ")</f>
        <v>     Trichomoniasis [DOID:1947]               </v>
      </c>
      <c r="C521" s="29" t="str">
        <f>IFERROR(__xludf.DUMMYFUNCTION("""COMPUTED_VALUE"""),"DOID:1947")</f>
        <v>DOID:1947</v>
      </c>
      <c r="D521"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521" s="29"/>
      <c r="F521" s="29"/>
      <c r="G521" s="29"/>
      <c r="H521" s="54" t="s">
        <v>19</v>
      </c>
      <c r="I521" s="54" t="s">
        <v>19</v>
      </c>
      <c r="J521" s="54" t="s">
        <v>19</v>
      </c>
      <c r="K521" s="52" t="str">
        <f t="shared" si="37"/>
        <v>International</v>
      </c>
      <c r="M521" s="55"/>
    </row>
    <row r="522">
      <c r="A522" s="29"/>
      <c r="B522" s="50" t="str">
        <f>IFERROR(__xludf.DUMMYFUNCTION("""COMPUTED_VALUE"""),"Lupus [MONDO:0004670]                    ")</f>
        <v>Lupus [MONDO:0004670]                    </v>
      </c>
      <c r="C522" s="29" t="str">
        <f>IFERROR(__xludf.DUMMYFUNCTION("""COMPUTED_VALUE"""),"MONDO:0004670")</f>
        <v>MONDO:0004670</v>
      </c>
      <c r="D522"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522" s="29"/>
      <c r="F522" s="29"/>
      <c r="G522" s="29"/>
      <c r="H522" s="54" t="s">
        <v>19</v>
      </c>
      <c r="I522" s="54" t="s">
        <v>19</v>
      </c>
      <c r="J522" s="54" t="s">
        <v>19</v>
      </c>
      <c r="K522" s="52" t="str">
        <f t="shared" si="37"/>
        <v>International</v>
      </c>
    </row>
    <row r="523">
      <c r="A523" s="29"/>
      <c r="B523" s="50" t="str">
        <f>IFERROR(__xludf.DUMMYFUNCTION("""COMPUTED_VALUE"""),"Pregnancy [NCIT:C25742]                    ")</f>
        <v>Pregnancy [NCIT:C25742]                    </v>
      </c>
      <c r="C523" s="29" t="str">
        <f>IFERROR(__xludf.DUMMYFUNCTION("""COMPUTED_VALUE"""),"NCIT:C25742")</f>
        <v>NCIT:C25742</v>
      </c>
      <c r="D523"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523" s="29"/>
      <c r="F523" s="29"/>
      <c r="G523" s="29"/>
      <c r="H523" s="54" t="s">
        <v>19</v>
      </c>
      <c r="I523" s="54" t="s">
        <v>19</v>
      </c>
      <c r="J523" s="54" t="s">
        <v>19</v>
      </c>
      <c r="K523" s="52" t="str">
        <f t="shared" si="37"/>
        <v>International</v>
      </c>
      <c r="M523" s="56"/>
    </row>
    <row r="524">
      <c r="A524" s="29"/>
      <c r="B524" s="50" t="str">
        <f>IFERROR(__xludf.DUMMYFUNCTION("""COMPUTED_VALUE"""),"Prior therapy [NCIT:C16124]                    ")</f>
        <v>Prior therapy [NCIT:C16124]                    </v>
      </c>
      <c r="C524" s="29" t="str">
        <f>IFERROR(__xludf.DUMMYFUNCTION("""COMPUTED_VALUE"""),"NCIT:C16124")</f>
        <v>NCIT:C16124</v>
      </c>
      <c r="D524"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524" s="29"/>
      <c r="F524" s="29"/>
      <c r="G524" s="29"/>
      <c r="H524" s="54" t="s">
        <v>19</v>
      </c>
      <c r="I524" s="54" t="s">
        <v>19</v>
      </c>
      <c r="J524" s="54" t="s">
        <v>19</v>
      </c>
      <c r="K524" s="52" t="str">
        <f t="shared" si="37"/>
        <v>International</v>
      </c>
      <c r="M524" s="55"/>
    </row>
    <row r="525">
      <c r="A525" s="29"/>
      <c r="B525" s="50" t="str">
        <f>IFERROR(__xludf.DUMMYFUNCTION("""COMPUTED_VALUE"""),"     Cancer treatment [NCIT:C16212]               ")</f>
        <v>     Cancer treatment [NCIT:C16212]               </v>
      </c>
      <c r="C525" s="29" t="str">
        <f>IFERROR(__xludf.DUMMYFUNCTION("""COMPUTED_VALUE"""),"NCIT:C16212")</f>
        <v>NCIT:C16212</v>
      </c>
      <c r="D525" s="29" t="str">
        <f>IFERROR(__xludf.DUMMYFUNCTION("""COMPUTED_VALUE"""),"Any intervention for management of a malignant neoplasm.")</f>
        <v>Any intervention for management of a malignant neoplasm.</v>
      </c>
      <c r="E525" s="29"/>
      <c r="F525" s="29"/>
      <c r="G525" s="29"/>
      <c r="H525" s="54" t="s">
        <v>19</v>
      </c>
      <c r="I525" s="54" t="s">
        <v>19</v>
      </c>
      <c r="J525" s="54" t="s">
        <v>19</v>
      </c>
      <c r="K525" s="52" t="str">
        <f t="shared" si="37"/>
        <v>International</v>
      </c>
      <c r="M525" s="55"/>
    </row>
    <row r="526">
      <c r="A526" s="29"/>
      <c r="B526" s="50" t="str">
        <f>IFERROR(__xludf.DUMMYFUNCTION("""COMPUTED_VALUE"""),"          Chemotherapy [NCIT:C15632]          ")</f>
        <v>          Chemotherapy [NCIT:C15632]          </v>
      </c>
      <c r="C526" s="29" t="str">
        <f>IFERROR(__xludf.DUMMYFUNCTION("""COMPUTED_VALUE"""),"NCIT:C15632")</f>
        <v>NCIT:C15632</v>
      </c>
      <c r="D526" s="29" t="str">
        <f>IFERROR(__xludf.DUMMYFUNCTION("""COMPUTED_VALUE"""),"The use of synthetic or naturally-occurring chemicals for the treatment of diseases.")</f>
        <v>The use of synthetic or naturally-occurring chemicals for the treatment of diseases.</v>
      </c>
      <c r="E526" s="29"/>
      <c r="F526" s="29"/>
      <c r="G526" s="29"/>
      <c r="H526" s="54" t="s">
        <v>19</v>
      </c>
      <c r="I526" s="54" t="s">
        <v>19</v>
      </c>
      <c r="J526" s="54" t="s">
        <v>19</v>
      </c>
      <c r="K526" s="52" t="str">
        <f t="shared" si="37"/>
        <v>International</v>
      </c>
      <c r="M526" s="55"/>
    </row>
    <row r="527">
      <c r="A527" s="29"/>
      <c r="B527" s="50" t="str">
        <f>IFERROR(__xludf.DUMMYFUNCTION("""COMPUTED_VALUE"""),"     HIV and Antiretroviral therapy (ART)  [NCIT:C16118]               ")</f>
        <v>     HIV and Antiretroviral therapy (ART)  [NCIT:C16118]               </v>
      </c>
      <c r="C527" s="29" t="str">
        <f>IFERROR(__xludf.DUMMYFUNCTION("""COMPUTED_VALUE"""),"NCIT:C16118")</f>
        <v>NCIT:C16118</v>
      </c>
      <c r="D527"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27" s="29"/>
      <c r="F527" s="29"/>
      <c r="G527" s="29"/>
      <c r="H527" s="54" t="s">
        <v>19</v>
      </c>
      <c r="I527" s="54" t="s">
        <v>19</v>
      </c>
      <c r="J527" s="54" t="s">
        <v>19</v>
      </c>
      <c r="K527" s="52" t="str">
        <f t="shared" si="37"/>
        <v>International</v>
      </c>
      <c r="M527" s="55"/>
    </row>
    <row r="528">
      <c r="A528" s="53"/>
      <c r="B528" s="50" t="str">
        <f>IFERROR(__xludf.DUMMYFUNCTION("""COMPUTED_VALUE"""),"     Steroid [CHEBI:35341]               ")</f>
        <v>     Steroid [CHEBI:35341]               </v>
      </c>
      <c r="C528" s="53" t="str">
        <f>IFERROR(__xludf.DUMMYFUNCTION("""COMPUTED_VALUE"""),"CHEBI:35341")</f>
        <v>CHEBI:35341</v>
      </c>
      <c r="D528"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K528" s="53" t="s">
        <v>29</v>
      </c>
      <c r="L528" s="53" t="str">
        <f>LEFT(A528, LEN(A528) - 5)
</f>
        <v>#VALUE!</v>
      </c>
      <c r="M528" s="60" t="s">
        <v>29</v>
      </c>
    </row>
    <row r="529">
      <c r="A529" s="53"/>
      <c r="B529" s="50" t="str">
        <f>IFERROR(__xludf.DUMMYFUNCTION("""COMPUTED_VALUE"""),"Transplant [NCIT:C159659]                    ")</f>
        <v>Transplant [NCIT:C159659]                    </v>
      </c>
      <c r="C529" s="53" t="str">
        <f>IFERROR(__xludf.DUMMYFUNCTION("""COMPUTED_VALUE"""),"NCIT:C159659")</f>
        <v>NCIT:C159659</v>
      </c>
      <c r="D529" s="29" t="str">
        <f>IFERROR(__xludf.DUMMYFUNCTION("""COMPUTED_VALUE"""),"An individual receiving a transplant.")</f>
        <v>An individual receiving a transplant.</v>
      </c>
      <c r="H529" s="52" t="s">
        <v>19</v>
      </c>
      <c r="I529" s="52" t="s">
        <v>19</v>
      </c>
      <c r="J529" s="52" t="s">
        <v>19</v>
      </c>
      <c r="K529" s="52" t="str">
        <f t="shared" ref="K529:K535" si="38">K528</f>
        <v>Mpox</v>
      </c>
      <c r="M529" s="55"/>
    </row>
    <row r="530">
      <c r="A530" s="53" t="str">
        <f>IFERROR(__xludf.DUMMYFUNCTION("""COMPUTED_VALUE"""),"complications menu")</f>
        <v>complications menu</v>
      </c>
      <c r="B530" s="50" t="str">
        <f>IFERROR(__xludf.DUMMYFUNCTION("""COMPUTED_VALUE"""),"                    ")</f>
        <v>                    </v>
      </c>
      <c r="C530" s="53"/>
      <c r="D530" s="29" t="str">
        <f>IFERROR(__xludf.DUMMYFUNCTION("""COMPUTED_VALUE"""),"")</f>
        <v/>
      </c>
      <c r="E530" s="53"/>
      <c r="F530" s="53"/>
      <c r="G530" s="53"/>
      <c r="H530" s="52" t="s">
        <v>19</v>
      </c>
      <c r="I530" s="52" t="s">
        <v>19</v>
      </c>
      <c r="J530" s="52" t="s">
        <v>19</v>
      </c>
      <c r="K530" s="52" t="str">
        <f t="shared" si="38"/>
        <v>Mpox</v>
      </c>
    </row>
    <row r="531">
      <c r="A531" s="29"/>
      <c r="B531" s="50" t="str">
        <f>IFERROR(__xludf.DUMMYFUNCTION("""COMPUTED_VALUE"""),"Bronchopneumonia                    ")</f>
        <v>Bronchopneumonia                    </v>
      </c>
      <c r="C531" s="29" t="str">
        <f>IFERROR(__xludf.DUMMYFUNCTION("""COMPUTED_VALUE"""),"MONDO:0005682")</f>
        <v>MONDO:0005682</v>
      </c>
      <c r="D531"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31" s="29"/>
      <c r="F531" s="29"/>
      <c r="G531" s="29"/>
      <c r="H531" s="52" t="s">
        <v>19</v>
      </c>
      <c r="I531" s="52" t="s">
        <v>19</v>
      </c>
      <c r="J531" s="52" t="s">
        <v>19</v>
      </c>
      <c r="K531" s="52" t="str">
        <f t="shared" si="38"/>
        <v>Mpox</v>
      </c>
      <c r="M531" s="56"/>
    </row>
    <row r="532">
      <c r="A532" s="29"/>
      <c r="B532" s="50" t="str">
        <f>IFERROR(__xludf.DUMMYFUNCTION("""COMPUTED_VALUE"""),"Corneal infection                    ")</f>
        <v>Corneal infection                    </v>
      </c>
      <c r="C532" s="29" t="str">
        <f>IFERROR(__xludf.DUMMYFUNCTION("""COMPUTED_VALUE"""),"MONDO:0023865")</f>
        <v>MONDO:0023865</v>
      </c>
      <c r="D532"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32" s="29"/>
      <c r="F532" s="29"/>
      <c r="G532" s="29"/>
      <c r="H532" s="52" t="s">
        <v>19</v>
      </c>
      <c r="I532" s="52" t="s">
        <v>19</v>
      </c>
      <c r="J532" s="52" t="s">
        <v>19</v>
      </c>
      <c r="K532" s="52" t="str">
        <f t="shared" si="38"/>
        <v>Mpox</v>
      </c>
      <c r="M532" s="55"/>
    </row>
    <row r="533">
      <c r="A533" s="29"/>
      <c r="B533" s="50" t="str">
        <f>IFERROR(__xludf.DUMMYFUNCTION("""COMPUTED_VALUE"""),"Delayed wound healing (lesion healing)                    ")</f>
        <v>Delayed wound healing (lesion healing)                    </v>
      </c>
      <c r="C533" s="29" t="str">
        <f>IFERROR(__xludf.DUMMYFUNCTION("""COMPUTED_VALUE"""),"MP:0002908")</f>
        <v>MP:0002908</v>
      </c>
      <c r="D533" s="29" t="str">
        <f>IFERROR(__xludf.DUMMYFUNCTION("""COMPUTED_VALUE"""),"Longer time requirement for the ability to self-repair and close wounds than normal")</f>
        <v>Longer time requirement for the ability to self-repair and close wounds than normal</v>
      </c>
      <c r="E533" s="29"/>
      <c r="F533" s="29"/>
      <c r="G533" s="29"/>
      <c r="H533" s="52" t="s">
        <v>19</v>
      </c>
      <c r="I533" s="52" t="s">
        <v>19</v>
      </c>
      <c r="J533" s="52" t="s">
        <v>19</v>
      </c>
      <c r="K533" s="52" t="str">
        <f t="shared" si="38"/>
        <v>Mpox</v>
      </c>
      <c r="M533" s="55"/>
    </row>
    <row r="534">
      <c r="A534" s="53"/>
      <c r="B534" s="50" t="str">
        <f>IFERROR(__xludf.DUMMYFUNCTION("""COMPUTED_VALUE"""),"Encephalitis                    ")</f>
        <v>Encephalitis                    </v>
      </c>
      <c r="C534" s="53" t="str">
        <f>IFERROR(__xludf.DUMMYFUNCTION("""COMPUTED_VALUE"""),"DOID:9588")</f>
        <v>DOID:9588</v>
      </c>
      <c r="D534" s="29" t="str">
        <f>IFERROR(__xludf.DUMMYFUNCTION("""COMPUTED_VALUE"""),"A brain disease that is characterized as an acute inflammation of the brain with flu-like symptoms.")</f>
        <v>A brain disease that is characterized as an acute inflammation of the brain with flu-like symptoms.</v>
      </c>
      <c r="H534" s="52" t="s">
        <v>19</v>
      </c>
      <c r="I534" s="52" t="s">
        <v>19</v>
      </c>
      <c r="J534" s="52" t="s">
        <v>19</v>
      </c>
      <c r="K534" s="52" t="str">
        <f t="shared" si="38"/>
        <v>Mpox</v>
      </c>
      <c r="M534" s="55"/>
    </row>
    <row r="535">
      <c r="A535" s="53"/>
      <c r="B535" s="50" t="str">
        <f>IFERROR(__xludf.DUMMYFUNCTION("""COMPUTED_VALUE"""),"Myocarditis                    ")</f>
        <v>Myocarditis                    </v>
      </c>
      <c r="C535" s="53" t="str">
        <f>IFERROR(__xludf.DUMMYFUNCTION("""COMPUTED_VALUE"""),"DOID:820")</f>
        <v>DOID:820</v>
      </c>
      <c r="D535" s="29" t="str">
        <f>IFERROR(__xludf.DUMMYFUNCTION("""COMPUTED_VALUE"""),"An extrinsic cardiomyopathy that is characterized as an inflammation of the heart muscle.")</f>
        <v>An extrinsic cardiomyopathy that is characterized as an inflammation of the heart muscle.</v>
      </c>
      <c r="H535" s="52" t="s">
        <v>19</v>
      </c>
      <c r="I535" s="52" t="s">
        <v>19</v>
      </c>
      <c r="J535" s="52" t="s">
        <v>19</v>
      </c>
      <c r="K535" s="52" t="str">
        <f t="shared" si="38"/>
        <v>Mpox</v>
      </c>
      <c r="M535" s="55"/>
    </row>
    <row r="536">
      <c r="A536" s="53"/>
      <c r="B536" s="50" t="str">
        <f>IFERROR(__xludf.DUMMYFUNCTION("""COMPUTED_VALUE"""),"Secondary infection                    ")</f>
        <v>Secondary infection                    </v>
      </c>
      <c r="C536" s="53" t="str">
        <f>IFERROR(__xludf.DUMMYFUNCTION("""COMPUTED_VALUE"""),"IDO:0000567")</f>
        <v>IDO:0000567</v>
      </c>
      <c r="D536" s="29" t="str">
        <f>IFERROR(__xludf.DUMMYFUNCTION("""COMPUTED_VALUE"""),"An infection bearing the secondary infection role.")</f>
        <v>An infection bearing the secondary infection role.</v>
      </c>
      <c r="H536" s="52"/>
      <c r="I536" s="52"/>
      <c r="J536" s="52"/>
      <c r="K536" s="53" t="s">
        <v>31</v>
      </c>
      <c r="L536" s="29" t="str">
        <f>LEFT(A536, LEN(A536) - 5)
</f>
        <v>#VALUE!</v>
      </c>
      <c r="M536" s="58" t="s">
        <v>32</v>
      </c>
    </row>
    <row r="537">
      <c r="A537" s="53"/>
      <c r="B537" s="50" t="str">
        <f>IFERROR(__xludf.DUMMYFUNCTION("""COMPUTED_VALUE"""),"Sepsis                    ")</f>
        <v>Sepsis                    </v>
      </c>
      <c r="C537" s="53" t="str">
        <f>IFERROR(__xludf.DUMMYFUNCTION("""COMPUTED_VALUE"""),"HP:0100806")</f>
        <v>HP:0100806</v>
      </c>
      <c r="D537" s="29" t="str">
        <f>IFERROR(__xludf.DUMMYFUNCTION("""COMPUTED_VALUE"""),"Systemic inflammatory response to infection.")</f>
        <v>Systemic inflammatory response to infection.</v>
      </c>
      <c r="H537" s="52" t="s">
        <v>19</v>
      </c>
      <c r="I537" s="52" t="s">
        <v>19</v>
      </c>
      <c r="J537" s="52" t="s">
        <v>19</v>
      </c>
      <c r="K537" s="52" t="str">
        <f t="shared" ref="K537:K543" si="39">K536</f>
        <v>International</v>
      </c>
      <c r="M537" s="55"/>
    </row>
    <row r="538">
      <c r="A538" s="53" t="str">
        <f>IFERROR(__xludf.DUMMYFUNCTION("""COMPUTED_VALUE"""),"complications international menu")</f>
        <v>complications international menu</v>
      </c>
      <c r="B538" s="50" t="str">
        <f>IFERROR(__xludf.DUMMYFUNCTION("""COMPUTED_VALUE"""),"                    ")</f>
        <v>                    </v>
      </c>
      <c r="C538" s="53"/>
      <c r="D538" s="29" t="str">
        <f>IFERROR(__xludf.DUMMYFUNCTION("""COMPUTED_VALUE"""),"")</f>
        <v/>
      </c>
      <c r="E538" s="53"/>
      <c r="F538" s="53"/>
      <c r="G538" s="53"/>
      <c r="H538" s="52" t="s">
        <v>19</v>
      </c>
      <c r="I538" s="52" t="s">
        <v>19</v>
      </c>
      <c r="J538" s="52" t="s">
        <v>19</v>
      </c>
      <c r="K538" s="52" t="str">
        <f t="shared" si="39"/>
        <v>International</v>
      </c>
    </row>
    <row r="539">
      <c r="A539" s="53"/>
      <c r="B539" s="50" t="str">
        <f>IFERROR(__xludf.DUMMYFUNCTION("""COMPUTED_VALUE"""),"Bronchopneumonia [MONDO:0005682]                    ")</f>
        <v>Bronchopneumonia [MONDO:0005682]                    </v>
      </c>
      <c r="C539" s="53" t="str">
        <f>IFERROR(__xludf.DUMMYFUNCTION("""COMPUTED_VALUE"""),"MONDO:0005682")</f>
        <v>MONDO:0005682</v>
      </c>
      <c r="D539"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39" s="52" t="s">
        <v>19</v>
      </c>
      <c r="I539" s="52" t="s">
        <v>19</v>
      </c>
      <c r="J539" s="52" t="s">
        <v>19</v>
      </c>
      <c r="K539" s="52" t="str">
        <f t="shared" si="39"/>
        <v>International</v>
      </c>
      <c r="M539" s="56"/>
    </row>
    <row r="540">
      <c r="A540" s="53"/>
      <c r="B540" s="50" t="str">
        <f>IFERROR(__xludf.DUMMYFUNCTION("""COMPUTED_VALUE"""),"Corneal infection [MONDO:0023865]                    ")</f>
        <v>Corneal infection [MONDO:0023865]                    </v>
      </c>
      <c r="C540" s="53" t="str">
        <f>IFERROR(__xludf.DUMMYFUNCTION("""COMPUTED_VALUE"""),"MONDO:0023865")</f>
        <v>MONDO:0023865</v>
      </c>
      <c r="D540"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40" s="52" t="s">
        <v>19</v>
      </c>
      <c r="I540" s="52" t="s">
        <v>19</v>
      </c>
      <c r="J540" s="52" t="s">
        <v>19</v>
      </c>
      <c r="K540" s="52" t="str">
        <f t="shared" si="39"/>
        <v>International</v>
      </c>
      <c r="M540" s="55"/>
    </row>
    <row r="541">
      <c r="A541" s="53"/>
      <c r="B541" s="50" t="str">
        <f>IFERROR(__xludf.DUMMYFUNCTION("""COMPUTED_VALUE"""),"Delayed wound healing (lesion healing) [MP:0002908]                    ")</f>
        <v>Delayed wound healing (lesion healing) [MP:0002908]                    </v>
      </c>
      <c r="C541" s="53" t="str">
        <f>IFERROR(__xludf.DUMMYFUNCTION("""COMPUTED_VALUE"""),"MP:0002908")</f>
        <v>MP:0002908</v>
      </c>
      <c r="D541" s="29" t="str">
        <f>IFERROR(__xludf.DUMMYFUNCTION("""COMPUTED_VALUE"""),"Longer time requirement for the ability to self-repair and close wounds than normal")</f>
        <v>Longer time requirement for the ability to self-repair and close wounds than normal</v>
      </c>
      <c r="H541" s="52" t="s">
        <v>19</v>
      </c>
      <c r="I541" s="52" t="s">
        <v>19</v>
      </c>
      <c r="J541" s="52" t="s">
        <v>19</v>
      </c>
      <c r="K541" s="52" t="str">
        <f t="shared" si="39"/>
        <v>International</v>
      </c>
    </row>
    <row r="542">
      <c r="A542" s="29"/>
      <c r="B542" s="50" t="str">
        <f>IFERROR(__xludf.DUMMYFUNCTION("""COMPUTED_VALUE"""),"Encephalitis [DOID:9588]                    ")</f>
        <v>Encephalitis [DOID:9588]                    </v>
      </c>
      <c r="C542" s="29" t="str">
        <f>IFERROR(__xludf.DUMMYFUNCTION("""COMPUTED_VALUE"""),"DOID:9588")</f>
        <v>DOID:9588</v>
      </c>
      <c r="D542" s="29" t="str">
        <f>IFERROR(__xludf.DUMMYFUNCTION("""COMPUTED_VALUE"""),"A brain disease that is characterized as an acute inflammation of the brain with flu-like symptoms.")</f>
        <v>A brain disease that is characterized as an acute inflammation of the brain with flu-like symptoms.</v>
      </c>
      <c r="E542" s="29"/>
      <c r="F542" s="29"/>
      <c r="G542" s="29"/>
      <c r="H542" s="52" t="s">
        <v>19</v>
      </c>
      <c r="I542" s="52" t="s">
        <v>19</v>
      </c>
      <c r="J542" s="52" t="s">
        <v>19</v>
      </c>
      <c r="K542" s="52" t="str">
        <f t="shared" si="39"/>
        <v>International</v>
      </c>
      <c r="M542" s="56"/>
    </row>
    <row r="543">
      <c r="A543" s="29"/>
      <c r="B543" s="50" t="str">
        <f>IFERROR(__xludf.DUMMYFUNCTION("""COMPUTED_VALUE"""),"Myocarditis [DOID:820]                    ")</f>
        <v>Myocarditis [DOID:820]                    </v>
      </c>
      <c r="C543" s="29" t="str">
        <f>IFERROR(__xludf.DUMMYFUNCTION("""COMPUTED_VALUE"""),"DOID:820")</f>
        <v>DOID:820</v>
      </c>
      <c r="D543" s="29" t="str">
        <f>IFERROR(__xludf.DUMMYFUNCTION("""COMPUTED_VALUE"""),"An extrinsic cardiomyopathy that is characterized as an inflammation of the heart muscle.")</f>
        <v>An extrinsic cardiomyopathy that is characterized as an inflammation of the heart muscle.</v>
      </c>
      <c r="E543" s="29"/>
      <c r="F543" s="29"/>
      <c r="G543" s="29"/>
      <c r="H543" s="54" t="s">
        <v>19</v>
      </c>
      <c r="I543" s="54" t="s">
        <v>19</v>
      </c>
      <c r="J543" s="54" t="s">
        <v>19</v>
      </c>
      <c r="K543" s="52" t="str">
        <f t="shared" si="39"/>
        <v>International</v>
      </c>
      <c r="M543" s="55"/>
    </row>
    <row r="544">
      <c r="A544" s="29"/>
      <c r="B544" s="50" t="str">
        <f>IFERROR(__xludf.DUMMYFUNCTION("""COMPUTED_VALUE"""),"Secondary infection [IDO:0000567]                    ")</f>
        <v>Secondary infection [IDO:0000567]                    </v>
      </c>
      <c r="C544" s="29" t="str">
        <f>IFERROR(__xludf.DUMMYFUNCTION("""COMPUTED_VALUE"""),"IDO:0000567")</f>
        <v>IDO:0000567</v>
      </c>
      <c r="D544" s="29" t="str">
        <f>IFERROR(__xludf.DUMMYFUNCTION("""COMPUTED_VALUE"""),"An infection bearing the secondary infection role.")</f>
        <v>An infection bearing the secondary infection role.</v>
      </c>
      <c r="E544" s="29"/>
      <c r="F544" s="29"/>
      <c r="G544" s="29"/>
      <c r="H544" s="54"/>
      <c r="I544" s="54"/>
      <c r="J544" s="54"/>
      <c r="K544" s="53" t="s">
        <v>29</v>
      </c>
      <c r="L544" s="53" t="str">
        <f>LEFT(A544, LEN(A544) - 5)
</f>
        <v>#VALUE!</v>
      </c>
      <c r="M544" s="53" t="str">
        <f>VLOOKUP(L544,'Field Reference Guide'!$B$6:$N$220,13,false)</f>
        <v>#VALUE!</v>
      </c>
    </row>
    <row r="545">
      <c r="A545" s="29"/>
      <c r="B545" s="50" t="str">
        <f>IFERROR(__xludf.DUMMYFUNCTION("""COMPUTED_VALUE"""),"Sepsis [HP:0100806]                    ")</f>
        <v>Sepsis [HP:0100806]                    </v>
      </c>
      <c r="C545" s="29" t="str">
        <f>IFERROR(__xludf.DUMMYFUNCTION("""COMPUTED_VALUE"""),"HP:0100806")</f>
        <v>HP:0100806</v>
      </c>
      <c r="D545" s="29" t="str">
        <f>IFERROR(__xludf.DUMMYFUNCTION("""COMPUTED_VALUE"""),"Systemic inflammatory response to infection.")</f>
        <v>Systemic inflammatory response to infection.</v>
      </c>
      <c r="E545" s="29"/>
      <c r="F545" s="29"/>
      <c r="G545" s="29"/>
      <c r="H545" s="54" t="s">
        <v>19</v>
      </c>
      <c r="I545" s="54" t="s">
        <v>19</v>
      </c>
      <c r="J545" s="54" t="s">
        <v>19</v>
      </c>
      <c r="K545" s="52" t="str">
        <f t="shared" ref="K545:K546" si="40">K544</f>
        <v>Mpox</v>
      </c>
      <c r="M545" s="56"/>
    </row>
    <row r="546">
      <c r="A546" s="29" t="str">
        <f>IFERROR(__xludf.DUMMYFUNCTION("""COMPUTED_VALUE"""),"host vaccination status menu")</f>
        <v>host vaccination status menu</v>
      </c>
      <c r="B546" s="50" t="str">
        <f>IFERROR(__xludf.DUMMYFUNCTION("""COMPUTED_VALUE"""),"                    ")</f>
        <v>                    </v>
      </c>
      <c r="C546" s="29"/>
      <c r="D546" s="29" t="str">
        <f>IFERROR(__xludf.DUMMYFUNCTION("""COMPUTED_VALUE"""),"")</f>
        <v/>
      </c>
      <c r="E546" s="29"/>
      <c r="F546" s="29"/>
      <c r="G546" s="29"/>
      <c r="H546" s="54" t="s">
        <v>19</v>
      </c>
      <c r="I546" s="54" t="s">
        <v>19</v>
      </c>
      <c r="J546" s="54" t="s">
        <v>19</v>
      </c>
      <c r="K546" s="52" t="str">
        <f t="shared" si="40"/>
        <v>Mpox</v>
      </c>
      <c r="M546" s="55"/>
    </row>
    <row r="547">
      <c r="A547" s="29"/>
      <c r="B547" s="50" t="str">
        <f>IFERROR(__xludf.DUMMYFUNCTION("""COMPUTED_VALUE"""),"Fully Vaccinated                    ")</f>
        <v>Fully Vaccinated                    </v>
      </c>
      <c r="C547" s="29" t="str">
        <f>IFERROR(__xludf.DUMMYFUNCTION("""COMPUTED_VALUE"""),"GENEPIO:0100100")</f>
        <v>GENEPIO:0100100</v>
      </c>
      <c r="D547" s="29" t="str">
        <f>IFERROR(__xludf.DUMMYFUNCTION("""COMPUTED_VALUE"""),"Completed a full series of an authorized vaccine according to the regional health institutional guidance.")</f>
        <v>Completed a full series of an authorized vaccine according to the regional health institutional guidance.</v>
      </c>
      <c r="E547" s="29"/>
      <c r="F547" s="29"/>
      <c r="G547" s="29"/>
      <c r="H547" s="54"/>
      <c r="I547" s="54"/>
      <c r="J547" s="54"/>
      <c r="K547" s="53" t="s">
        <v>31</v>
      </c>
      <c r="L547" s="29" t="str">
        <f>LEFT(A547, LEN(A547) - 5)
</f>
        <v>#VALUE!</v>
      </c>
      <c r="M547" s="58" t="s">
        <v>32</v>
      </c>
    </row>
    <row r="548">
      <c r="A548" s="29"/>
      <c r="B548" s="50" t="str">
        <f>IFERROR(__xludf.DUMMYFUNCTION("""COMPUTED_VALUE"""),"Not Vaccinated                    ")</f>
        <v>Not Vaccinated                    </v>
      </c>
      <c r="C548" s="29" t="str">
        <f>IFERROR(__xludf.DUMMYFUNCTION("""COMPUTED_VALUE"""),"GENEPIO:0100102")</f>
        <v>GENEPIO:0100102</v>
      </c>
      <c r="D548"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48" s="29"/>
      <c r="F548" s="29"/>
      <c r="G548" s="29"/>
      <c r="H548" s="54" t="s">
        <v>19</v>
      </c>
      <c r="I548" s="54" t="s">
        <v>19</v>
      </c>
      <c r="J548" s="54" t="s">
        <v>19</v>
      </c>
      <c r="K548" s="52" t="str">
        <f t="shared" ref="K548:K550" si="41">K547</f>
        <v>International</v>
      </c>
      <c r="M548" s="55"/>
    </row>
    <row r="549">
      <c r="A549" s="29" t="str">
        <f>IFERROR(__xludf.DUMMYFUNCTION("""COMPUTED_VALUE"""),"host vaccination status international menu")</f>
        <v>host vaccination status international menu</v>
      </c>
      <c r="B549" s="50" t="str">
        <f>IFERROR(__xludf.DUMMYFUNCTION("""COMPUTED_VALUE"""),"                    ")</f>
        <v>                    </v>
      </c>
      <c r="C549" s="29"/>
      <c r="D549" s="29" t="str">
        <f>IFERROR(__xludf.DUMMYFUNCTION("""COMPUTED_VALUE"""),"")</f>
        <v/>
      </c>
      <c r="E549" s="29"/>
      <c r="F549" s="29"/>
      <c r="G549" s="29"/>
      <c r="H549" s="54" t="s">
        <v>19</v>
      </c>
      <c r="I549" s="54" t="s">
        <v>19</v>
      </c>
      <c r="J549" s="52" t="s">
        <v>30</v>
      </c>
      <c r="K549" s="52" t="str">
        <f t="shared" si="41"/>
        <v>International</v>
      </c>
      <c r="M549" s="55"/>
    </row>
    <row r="550">
      <c r="A550" s="29"/>
      <c r="B550" s="50" t="str">
        <f>IFERROR(__xludf.DUMMYFUNCTION("""COMPUTED_VALUE"""),"Fully Vaccinated [GENEPIO:0100100]                    ")</f>
        <v>Fully Vaccinated [GENEPIO:0100100]                    </v>
      </c>
      <c r="C550" s="29" t="str">
        <f>IFERROR(__xludf.DUMMYFUNCTION("""COMPUTED_VALUE"""),"GENEPIO:0100100")</f>
        <v>GENEPIO:0100100</v>
      </c>
      <c r="D550" s="29" t="str">
        <f>IFERROR(__xludf.DUMMYFUNCTION("""COMPUTED_VALUE"""),"Completed a full series of an authorized vaccine according to the regional health institutional guidance.")</f>
        <v>Completed a full series of an authorized vaccine according to the regional health institutional guidance.</v>
      </c>
      <c r="E550" s="29"/>
      <c r="F550" s="29"/>
      <c r="G550" s="29"/>
      <c r="H550" s="54" t="s">
        <v>19</v>
      </c>
      <c r="I550" s="54" t="s">
        <v>19</v>
      </c>
      <c r="J550" s="52" t="s">
        <v>30</v>
      </c>
      <c r="K550" s="52" t="str">
        <f t="shared" si="41"/>
        <v>International</v>
      </c>
      <c r="M550" s="55"/>
    </row>
    <row r="551">
      <c r="A551" s="53"/>
      <c r="B551" s="50" t="str">
        <f>IFERROR(__xludf.DUMMYFUNCTION("""COMPUTED_VALUE"""),"Partially Vaccinated [GENEPIO:0100101]                    ")</f>
        <v>Partially Vaccinated [GENEPIO:0100101]                    </v>
      </c>
      <c r="C551" s="53" t="str">
        <f>IFERROR(__xludf.DUMMYFUNCTION("""COMPUTED_VALUE"""),"GENEPIO:0100101")</f>
        <v>GENEPIO:0100101</v>
      </c>
      <c r="D551" s="29" t="str">
        <f>IFERROR(__xludf.DUMMYFUNCTION("""COMPUTED_VALUE"""),"Initiated but not yet completed the full series of an authorized vaccine according to the regional health institutional guidance.")</f>
        <v>Initiated but not yet completed the full series of an authorized vaccine according to the regional health institutional guidance.</v>
      </c>
      <c r="K551" s="53" t="s">
        <v>29</v>
      </c>
      <c r="L551" s="53" t="str">
        <f>LEFT(A551, LEN(A551) - 5)
</f>
        <v>#VALUE!</v>
      </c>
      <c r="M551" s="60" t="s">
        <v>29</v>
      </c>
    </row>
    <row r="552">
      <c r="A552" s="53"/>
      <c r="B552" s="50" t="str">
        <f>IFERROR(__xludf.DUMMYFUNCTION("""COMPUTED_VALUE"""),"Not Vaccinated [GENEPIO:0100102]                    ")</f>
        <v>Not Vaccinated [GENEPIO:0100102]                    </v>
      </c>
      <c r="C552" s="53" t="str">
        <f>IFERROR(__xludf.DUMMYFUNCTION("""COMPUTED_VALUE"""),"GENEPIO:0100102")</f>
        <v>GENEPIO:0100102</v>
      </c>
      <c r="D552"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52" s="52" t="s">
        <v>19</v>
      </c>
      <c r="I552" s="52" t="s">
        <v>19</v>
      </c>
      <c r="J552" s="52" t="s">
        <v>19</v>
      </c>
      <c r="K552" s="52" t="str">
        <f t="shared" ref="K552:K558" si="42">K551</f>
        <v>Mpox</v>
      </c>
    </row>
    <row r="553">
      <c r="A553" s="53" t="str">
        <f>IFERROR(__xludf.DUMMYFUNCTION("""COMPUTED_VALUE"""),"exposure event menu")</f>
        <v>exposure event menu</v>
      </c>
      <c r="B553" s="50" t="str">
        <f>IFERROR(__xludf.DUMMYFUNCTION("""COMPUTED_VALUE"""),"                    ")</f>
        <v>                    </v>
      </c>
      <c r="C553" s="53"/>
      <c r="D553" s="29" t="str">
        <f>IFERROR(__xludf.DUMMYFUNCTION("""COMPUTED_VALUE"""),"")</f>
        <v/>
      </c>
      <c r="E553" s="53"/>
      <c r="F553" s="53"/>
      <c r="G553" s="53"/>
      <c r="H553" s="52" t="s">
        <v>19</v>
      </c>
      <c r="I553" s="52" t="s">
        <v>19</v>
      </c>
      <c r="J553" s="52" t="s">
        <v>19</v>
      </c>
      <c r="K553" s="52" t="str">
        <f t="shared" si="42"/>
        <v>Mpox</v>
      </c>
      <c r="M553" s="56"/>
    </row>
    <row r="554">
      <c r="A554" s="53"/>
      <c r="B554" s="50" t="str">
        <f>IFERROR(__xludf.DUMMYFUNCTION("""COMPUTED_VALUE"""),"Mass Gathering                    ")</f>
        <v>Mass Gathering                    </v>
      </c>
      <c r="C554" s="53" t="str">
        <f>IFERROR(__xludf.DUMMYFUNCTION("""COMPUTED_VALUE"""),"GENEPIO:0100237")</f>
        <v>GENEPIO:0100237</v>
      </c>
      <c r="D554"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54" s="52" t="s">
        <v>19</v>
      </c>
      <c r="I554" s="52" t="s">
        <v>19</v>
      </c>
      <c r="J554" s="52" t="s">
        <v>19</v>
      </c>
      <c r="K554" s="52" t="str">
        <f t="shared" si="42"/>
        <v>Mpox</v>
      </c>
      <c r="M554" s="55"/>
    </row>
    <row r="555">
      <c r="A555" s="53"/>
      <c r="B555" s="50" t="str">
        <f>IFERROR(__xludf.DUMMYFUNCTION("""COMPUTED_VALUE"""),"Convention (conference)                    ")</f>
        <v>Convention (conference)                    </v>
      </c>
      <c r="C555" s="53" t="str">
        <f>IFERROR(__xludf.DUMMYFUNCTION("""COMPUTED_VALUE"""),"GENEPIO:0100238")</f>
        <v>GENEPIO:0100238</v>
      </c>
      <c r="D555"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55" s="52" t="s">
        <v>19</v>
      </c>
      <c r="I555" s="52" t="s">
        <v>19</v>
      </c>
      <c r="J555" s="52" t="s">
        <v>19</v>
      </c>
      <c r="K555" s="52" t="str">
        <f t="shared" si="42"/>
        <v>Mpox</v>
      </c>
      <c r="M555" s="55"/>
    </row>
    <row r="556">
      <c r="A556" s="53"/>
      <c r="B556" s="50" t="str">
        <f>IFERROR(__xludf.DUMMYFUNCTION("""COMPUTED_VALUE"""),"     Agricultural Event               ")</f>
        <v>     Agricultural Event               </v>
      </c>
      <c r="C556" s="53" t="str">
        <f>IFERROR(__xludf.DUMMYFUNCTION("""COMPUTED_VALUE"""),"GENEPIO:0100240")</f>
        <v>GENEPIO:0100240</v>
      </c>
      <c r="D556"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56" s="52" t="s">
        <v>19</v>
      </c>
      <c r="I556" s="52" t="s">
        <v>19</v>
      </c>
      <c r="J556" s="52" t="s">
        <v>19</v>
      </c>
      <c r="K556" s="52" t="str">
        <f t="shared" si="42"/>
        <v>Mpox</v>
      </c>
      <c r="M556" s="55"/>
    </row>
    <row r="557">
      <c r="A557" s="53"/>
      <c r="B557" s="50" t="str">
        <f>IFERROR(__xludf.DUMMYFUNCTION("""COMPUTED_VALUE"""),"Social Gathering                    ")</f>
        <v>Social Gathering                    </v>
      </c>
      <c r="C557" s="53" t="str">
        <f>IFERROR(__xludf.DUMMYFUNCTION("""COMPUTED_VALUE"""),"PCO:0000033")</f>
        <v>PCO:0000033</v>
      </c>
      <c r="D557"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57" s="52" t="s">
        <v>19</v>
      </c>
      <c r="I557" s="52" t="s">
        <v>19</v>
      </c>
      <c r="J557" s="52" t="s">
        <v>19</v>
      </c>
      <c r="K557" s="52" t="str">
        <f t="shared" si="42"/>
        <v>Mpox</v>
      </c>
      <c r="M557" s="55"/>
    </row>
    <row r="558">
      <c r="A558" s="53"/>
      <c r="B558" s="50" t="str">
        <f>IFERROR(__xludf.DUMMYFUNCTION("""COMPUTED_VALUE"""),"     Community Event               ")</f>
        <v>     Community Event               </v>
      </c>
      <c r="C558" s="53" t="str">
        <f>IFERROR(__xludf.DUMMYFUNCTION("""COMPUTED_VALUE"""),"PCO:0000034")</f>
        <v>PCO:0000034</v>
      </c>
      <c r="D558"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58" s="52" t="s">
        <v>19</v>
      </c>
      <c r="I558" s="52" t="s">
        <v>19</v>
      </c>
      <c r="J558" s="52" t="s">
        <v>19</v>
      </c>
      <c r="K558" s="52" t="str">
        <f t="shared" si="42"/>
        <v>Mpox</v>
      </c>
      <c r="M558" s="55"/>
    </row>
    <row r="559">
      <c r="A559" s="53"/>
      <c r="B559" s="50" t="str">
        <f>IFERROR(__xludf.DUMMYFUNCTION("""COMPUTED_VALUE"""),"     Party               ")</f>
        <v>     Party               </v>
      </c>
      <c r="C559" s="53" t="str">
        <f>IFERROR(__xludf.DUMMYFUNCTION("""COMPUTED_VALUE"""),"PCO:0000035")</f>
        <v>PCO:0000035</v>
      </c>
      <c r="D559"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59" s="52"/>
      <c r="I559" s="52"/>
      <c r="J559" s="52"/>
      <c r="K559" s="53" t="s">
        <v>31</v>
      </c>
      <c r="L559" s="29" t="str">
        <f>LEFT(A559, LEN(A559) - 5)
</f>
        <v>#VALUE!</v>
      </c>
      <c r="M559" s="58" t="s">
        <v>32</v>
      </c>
    </row>
    <row r="560">
      <c r="A560" s="53"/>
      <c r="B560" s="50" t="str">
        <f>IFERROR(__xludf.DUMMYFUNCTION("""COMPUTED_VALUE"""),"Other exposure event                    ")</f>
        <v>Other exposure event                    </v>
      </c>
      <c r="C560" s="53"/>
      <c r="D560" s="29" t="str">
        <f>IFERROR(__xludf.DUMMYFUNCTION("""COMPUTED_VALUE"""),"An event or situation not classified under other specific exposure types, in which an individual may be exposed to conditions or factors that could impact health or safety. This term encompasses a wide range of gatherings, activities, or circumstances tha"&amp;"t do not fit into predefined exposure categories.")</f>
        <v>An event or situation not classified under other specific exposure types, in which an individual may be exposed to conditions or factors that could impact health or safety. This term encompasses a wide range of gatherings, activities, or circumstances that do not fit into predefined exposure categories.</v>
      </c>
      <c r="H560" s="52" t="s">
        <v>19</v>
      </c>
      <c r="I560" s="52" t="s">
        <v>19</v>
      </c>
      <c r="J560" s="52" t="s">
        <v>19</v>
      </c>
      <c r="K560" s="52" t="str">
        <f t="shared" ref="K560:K567" si="43">K559</f>
        <v>International</v>
      </c>
      <c r="M560" s="57"/>
    </row>
    <row r="561">
      <c r="A561" s="53" t="str">
        <f>IFERROR(__xludf.DUMMYFUNCTION("""COMPUTED_VALUE"""),"exposure event international menu")</f>
        <v>exposure event international menu</v>
      </c>
      <c r="B561" s="50" t="str">
        <f>IFERROR(__xludf.DUMMYFUNCTION("""COMPUTED_VALUE"""),"                    ")</f>
        <v>                    </v>
      </c>
      <c r="C561" s="53"/>
      <c r="D561" s="29" t="str">
        <f>IFERROR(__xludf.DUMMYFUNCTION("""COMPUTED_VALUE"""),"")</f>
        <v/>
      </c>
      <c r="E561" s="53"/>
      <c r="F561" s="53"/>
      <c r="G561" s="53"/>
      <c r="H561" s="52" t="s">
        <v>19</v>
      </c>
      <c r="I561" s="52" t="s">
        <v>19</v>
      </c>
      <c r="J561" s="52" t="s">
        <v>19</v>
      </c>
      <c r="K561" s="52" t="str">
        <f t="shared" si="43"/>
        <v>International</v>
      </c>
    </row>
    <row r="562">
      <c r="A562" s="53"/>
      <c r="B562" s="50" t="str">
        <f>IFERROR(__xludf.DUMMYFUNCTION("""COMPUTED_VALUE"""),"Mass Gathering [GENEPIO:0100237]                    ")</f>
        <v>Mass Gathering [GENEPIO:0100237]                    </v>
      </c>
      <c r="C562" s="53" t="str">
        <f>IFERROR(__xludf.DUMMYFUNCTION("""COMPUTED_VALUE"""),"GENEPIO:0100237")</f>
        <v>GENEPIO:0100237</v>
      </c>
      <c r="D562"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62" s="52" t="s">
        <v>19</v>
      </c>
      <c r="I562" s="52" t="s">
        <v>19</v>
      </c>
      <c r="J562" s="52" t="s">
        <v>19</v>
      </c>
      <c r="K562" s="52" t="str">
        <f t="shared" si="43"/>
        <v>International</v>
      </c>
      <c r="M562" s="56"/>
    </row>
    <row r="563">
      <c r="A563" s="53"/>
      <c r="B563" s="50" t="str">
        <f>IFERROR(__xludf.DUMMYFUNCTION("""COMPUTED_VALUE"""),"Convention (conference) [GENEPIO:0100238]                    ")</f>
        <v>Convention (conference) [GENEPIO:0100238]                    </v>
      </c>
      <c r="C563" s="53" t="str">
        <f>IFERROR(__xludf.DUMMYFUNCTION("""COMPUTED_VALUE"""),"GENEPIO:0100238")</f>
        <v>GENEPIO:0100238</v>
      </c>
      <c r="D563"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63" s="52" t="s">
        <v>19</v>
      </c>
      <c r="I563" s="52" t="s">
        <v>19</v>
      </c>
      <c r="J563" s="52" t="s">
        <v>19</v>
      </c>
      <c r="K563" s="52" t="str">
        <f t="shared" si="43"/>
        <v>International</v>
      </c>
      <c r="M563" s="55"/>
    </row>
    <row r="564">
      <c r="A564" s="53"/>
      <c r="B564" s="50" t="str">
        <f>IFERROR(__xludf.DUMMYFUNCTION("""COMPUTED_VALUE"""),"     Agricultural Event [GENEPIO:0100240]               ")</f>
        <v>     Agricultural Event [GENEPIO:0100240]               </v>
      </c>
      <c r="C564" s="53" t="str">
        <f>IFERROR(__xludf.DUMMYFUNCTION("""COMPUTED_VALUE"""),"GENEPIO:0100240")</f>
        <v>GENEPIO:0100240</v>
      </c>
      <c r="D564"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64" s="52" t="s">
        <v>19</v>
      </c>
      <c r="I564" s="52" t="s">
        <v>19</v>
      </c>
      <c r="J564" s="52" t="s">
        <v>19</v>
      </c>
      <c r="K564" s="52" t="str">
        <f t="shared" si="43"/>
        <v>International</v>
      </c>
      <c r="M564" s="55"/>
    </row>
    <row r="565">
      <c r="A565" s="29"/>
      <c r="B565" s="50" t="str">
        <f>IFERROR(__xludf.DUMMYFUNCTION("""COMPUTED_VALUE"""),"Social Gathering [PCO:0000033]                    ")</f>
        <v>Social Gathering [PCO:0000033]                    </v>
      </c>
      <c r="C565" s="29" t="str">
        <f>IFERROR(__xludf.DUMMYFUNCTION("""COMPUTED_VALUE"""),"PCO:0000033")</f>
        <v>PCO:0000033</v>
      </c>
      <c r="D565"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65" s="29"/>
      <c r="F565" s="29"/>
      <c r="G565" s="29"/>
      <c r="H565" s="52" t="s">
        <v>19</v>
      </c>
      <c r="I565" s="52" t="s">
        <v>19</v>
      </c>
      <c r="J565" s="52" t="s">
        <v>19</v>
      </c>
      <c r="K565" s="52" t="str">
        <f t="shared" si="43"/>
        <v>International</v>
      </c>
      <c r="M565" s="55"/>
    </row>
    <row r="566">
      <c r="A566" s="29"/>
      <c r="B566" s="50" t="str">
        <f>IFERROR(__xludf.DUMMYFUNCTION("""COMPUTED_VALUE"""),"     Community Event [PCO:0000034]               ")</f>
        <v>     Community Event [PCO:0000034]               </v>
      </c>
      <c r="C566" s="29" t="str">
        <f>IFERROR(__xludf.DUMMYFUNCTION("""COMPUTED_VALUE"""),"PCO:0000034")</f>
        <v>PCO:0000034</v>
      </c>
      <c r="D566"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66" s="29"/>
      <c r="F566" s="29"/>
      <c r="G566" s="29"/>
      <c r="H566" s="52" t="s">
        <v>19</v>
      </c>
      <c r="I566" s="52" t="s">
        <v>19</v>
      </c>
      <c r="J566" s="52" t="s">
        <v>19</v>
      </c>
      <c r="K566" s="52" t="str">
        <f t="shared" si="43"/>
        <v>International</v>
      </c>
      <c r="M566" s="55"/>
    </row>
    <row r="567">
      <c r="A567" s="29"/>
      <c r="B567" s="50" t="str">
        <f>IFERROR(__xludf.DUMMYFUNCTION("""COMPUTED_VALUE"""),"     Party [PCO:0000035]               ")</f>
        <v>     Party [PCO:0000035]               </v>
      </c>
      <c r="C567" s="29" t="str">
        <f>IFERROR(__xludf.DUMMYFUNCTION("""COMPUTED_VALUE"""),"PCO:0000035")</f>
        <v>PCO:0000035</v>
      </c>
      <c r="D567"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67" s="29"/>
      <c r="F567" s="29"/>
      <c r="G567" s="29"/>
      <c r="H567" s="54" t="s">
        <v>19</v>
      </c>
      <c r="I567" s="54" t="s">
        <v>19</v>
      </c>
      <c r="J567" s="54" t="s">
        <v>19</v>
      </c>
      <c r="K567" s="52" t="str">
        <f t="shared" si="43"/>
        <v>International</v>
      </c>
      <c r="M567" s="55"/>
    </row>
    <row r="568">
      <c r="A568" s="29"/>
      <c r="B568" s="50" t="str">
        <f>IFERROR(__xludf.DUMMYFUNCTION("""COMPUTED_VALUE"""),"Other exposure event                    ")</f>
        <v>Other exposure event                    </v>
      </c>
      <c r="C568" s="29"/>
      <c r="D568" s="29" t="str">
        <f>IFERROR(__xludf.DUMMYFUNCTION("""COMPUTED_VALUE"""),"An exposure event not specified in the picklist.")</f>
        <v>An exposure event not specified in the picklist.</v>
      </c>
      <c r="E568" s="29"/>
      <c r="F568" s="29"/>
      <c r="G568" s="29"/>
      <c r="H568" s="54"/>
      <c r="I568" s="54"/>
      <c r="J568" s="54"/>
      <c r="K568" s="53" t="s">
        <v>29</v>
      </c>
      <c r="L568" s="53" t="str">
        <f>LEFT(A568, LEN(A568) - 5)
</f>
        <v>#VALUE!</v>
      </c>
      <c r="M568" s="60" t="s">
        <v>29</v>
      </c>
    </row>
    <row r="569">
      <c r="A569" s="29"/>
      <c r="B569" s="50" t="str">
        <f>IFERROR(__xludf.DUMMYFUNCTION("""COMPUTED_VALUE"""),"                    ")</f>
        <v>                    </v>
      </c>
      <c r="C569" s="29"/>
      <c r="D569" s="29" t="str">
        <f>IFERROR(__xludf.DUMMYFUNCTION("""COMPUTED_VALUE"""),"")</f>
        <v/>
      </c>
      <c r="E569" s="29"/>
      <c r="F569" s="29"/>
      <c r="G569" s="29"/>
      <c r="H569" s="54" t="s">
        <v>19</v>
      </c>
      <c r="I569" s="54" t="s">
        <v>19</v>
      </c>
      <c r="J569" s="54" t="s">
        <v>19</v>
      </c>
      <c r="K569" s="52" t="str">
        <f t="shared" ref="K569:K581" si="44">K568</f>
        <v>Mpox</v>
      </c>
      <c r="M569" s="55"/>
    </row>
    <row r="570">
      <c r="A570" s="29" t="str">
        <f>IFERROR(__xludf.DUMMYFUNCTION("""COMPUTED_VALUE"""),"exposure contact level menu")</f>
        <v>exposure contact level menu</v>
      </c>
      <c r="B570" s="50" t="str">
        <f>IFERROR(__xludf.DUMMYFUNCTION("""COMPUTED_VALUE"""),"                    ")</f>
        <v>                    </v>
      </c>
      <c r="C570" s="29"/>
      <c r="D570" s="29" t="str">
        <f>IFERROR(__xludf.DUMMYFUNCTION("""COMPUTED_VALUE"""),"")</f>
        <v/>
      </c>
      <c r="E570" s="29"/>
      <c r="F570" s="29"/>
      <c r="G570" s="29"/>
      <c r="H570" s="54" t="s">
        <v>19</v>
      </c>
      <c r="I570" s="54" t="s">
        <v>19</v>
      </c>
      <c r="J570" s="54" t="s">
        <v>19</v>
      </c>
      <c r="K570" s="52" t="str">
        <f t="shared" si="44"/>
        <v>Mpox</v>
      </c>
      <c r="M570" s="55"/>
    </row>
    <row r="571">
      <c r="A571" s="29"/>
      <c r="B571" s="50" t="str">
        <f>IFERROR(__xludf.DUMMYFUNCTION("""COMPUTED_VALUE"""),"Contact with animal                    ")</f>
        <v>Contact with animal                    </v>
      </c>
      <c r="C571" s="29" t="str">
        <f>IFERROR(__xludf.DUMMYFUNCTION("""COMPUTED_VALUE"""),"GENEPIO:0100494")</f>
        <v>GENEPIO:0100494</v>
      </c>
      <c r="D571"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E571" s="29"/>
      <c r="F571" s="29"/>
      <c r="G571" s="29"/>
      <c r="H571" s="54" t="s">
        <v>19</v>
      </c>
      <c r="I571" s="54" t="s">
        <v>19</v>
      </c>
      <c r="J571" s="54" t="s">
        <v>19</v>
      </c>
      <c r="K571" s="52" t="str">
        <f t="shared" si="44"/>
        <v>Mpox</v>
      </c>
      <c r="M571" s="55"/>
    </row>
    <row r="572">
      <c r="A572" s="29"/>
      <c r="B572" s="50" t="str">
        <f>IFERROR(__xludf.DUMMYFUNCTION("""COMPUTED_VALUE"""),"     Contact with rodent               ")</f>
        <v>     Contact with rodent               </v>
      </c>
      <c r="C572" s="29" t="str">
        <f>IFERROR(__xludf.DUMMYFUNCTION("""COMPUTED_VALUE"""),"GENEPIO:0100495")</f>
        <v>GENEPIO:0100495</v>
      </c>
      <c r="D572"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E572" s="29"/>
      <c r="F572" s="29"/>
      <c r="G572" s="29"/>
      <c r="H572" s="54" t="s">
        <v>19</v>
      </c>
      <c r="I572" s="54" t="s">
        <v>19</v>
      </c>
      <c r="J572" s="54" t="s">
        <v>19</v>
      </c>
      <c r="K572" s="52" t="str">
        <f t="shared" si="44"/>
        <v>Mpox</v>
      </c>
      <c r="M572" s="55"/>
    </row>
    <row r="573">
      <c r="A573" s="29"/>
      <c r="B573" s="50" t="str">
        <f>IFERROR(__xludf.DUMMYFUNCTION("""COMPUTED_VALUE"""),"Contact with fomite                    ")</f>
        <v>Contact with fomite                    </v>
      </c>
      <c r="C573" s="29" t="str">
        <f>IFERROR(__xludf.DUMMYFUNCTION("""COMPUTED_VALUE"""),"GENEPIO:0100496")</f>
        <v>GENEPIO:0100496</v>
      </c>
      <c r="D573"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E573" s="29"/>
      <c r="F573" s="29"/>
      <c r="G573" s="29"/>
      <c r="H573" s="54" t="s">
        <v>19</v>
      </c>
      <c r="I573" s="54" t="s">
        <v>19</v>
      </c>
      <c r="J573" s="54" t="s">
        <v>19</v>
      </c>
      <c r="K573" s="52" t="str">
        <f t="shared" si="44"/>
        <v>Mpox</v>
      </c>
      <c r="M573" s="55"/>
    </row>
    <row r="574">
      <c r="A574" s="29"/>
      <c r="B574" s="50" t="str">
        <f>IFERROR(__xludf.DUMMYFUNCTION("""COMPUTED_VALUE"""),"Contact with infected individual                    ")</f>
        <v>Contact with infected individual                    </v>
      </c>
      <c r="C574" s="29" t="str">
        <f>IFERROR(__xludf.DUMMYFUNCTION("""COMPUTED_VALUE"""),"GENEPIO:0100357")</f>
        <v>GENEPIO:0100357</v>
      </c>
      <c r="D574"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74" s="29"/>
      <c r="F574" s="29"/>
      <c r="G574" s="29"/>
      <c r="H574" s="54" t="s">
        <v>19</v>
      </c>
      <c r="I574" s="54" t="s">
        <v>19</v>
      </c>
      <c r="J574" s="54" t="s">
        <v>19</v>
      </c>
      <c r="K574" s="52" t="str">
        <f t="shared" si="44"/>
        <v>Mpox</v>
      </c>
      <c r="M574" s="55"/>
    </row>
    <row r="575">
      <c r="A575" s="29"/>
      <c r="B575" s="50" t="str">
        <f>IFERROR(__xludf.DUMMYFUNCTION("""COMPUTED_VALUE"""),"     Direct (human-to-human contact)               ")</f>
        <v>     Direct (human-to-human contact)               </v>
      </c>
      <c r="C575" s="29" t="str">
        <f>IFERROR(__xludf.DUMMYFUNCTION("""COMPUTED_VALUE"""),"TRANS:0000001")</f>
        <v>TRANS:0000001</v>
      </c>
      <c r="D575"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75" s="29"/>
      <c r="F575" s="29"/>
      <c r="G575" s="29"/>
      <c r="H575" s="54" t="s">
        <v>19</v>
      </c>
      <c r="I575" s="54" t="s">
        <v>19</v>
      </c>
      <c r="J575" s="54" t="s">
        <v>19</v>
      </c>
      <c r="K575" s="52" t="str">
        <f t="shared" si="44"/>
        <v>Mpox</v>
      </c>
    </row>
    <row r="576">
      <c r="A576" s="29"/>
      <c r="B576" s="50" t="str">
        <f>IFERROR(__xludf.DUMMYFUNCTION("""COMPUTED_VALUE"""),"          Mother-to-child transmission          ")</f>
        <v>          Mother-to-child transmission          </v>
      </c>
      <c r="C576" s="29" t="str">
        <f>IFERROR(__xludf.DUMMYFUNCTION("""COMPUTED_VALUE"""),"TRANS:0000006")</f>
        <v>TRANS:0000006</v>
      </c>
      <c r="D576"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E576" s="29"/>
      <c r="F576" s="29"/>
      <c r="G576" s="29"/>
      <c r="H576" s="54" t="s">
        <v>19</v>
      </c>
      <c r="I576" s="54" t="s">
        <v>19</v>
      </c>
      <c r="J576" s="54" t="s">
        <v>19</v>
      </c>
      <c r="K576" s="52" t="str">
        <f t="shared" si="44"/>
        <v>Mpox</v>
      </c>
      <c r="M576" s="56"/>
    </row>
    <row r="577">
      <c r="A577" s="29"/>
      <c r="B577" s="50" t="str">
        <f>IFERROR(__xludf.DUMMYFUNCTION("""COMPUTED_VALUE"""),"          Sexual transmission          ")</f>
        <v>          Sexual transmission          </v>
      </c>
      <c r="C577" s="29" t="str">
        <f>IFERROR(__xludf.DUMMYFUNCTION("""COMPUTED_VALUE"""),"NCIT:C19085")</f>
        <v>NCIT:C19085</v>
      </c>
      <c r="D577"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E577" s="29"/>
      <c r="F577" s="29"/>
      <c r="G577" s="29"/>
      <c r="H577" s="54" t="s">
        <v>19</v>
      </c>
      <c r="I577" s="54" t="s">
        <v>19</v>
      </c>
      <c r="J577" s="54" t="s">
        <v>19</v>
      </c>
      <c r="K577" s="52" t="str">
        <f t="shared" si="44"/>
        <v>Mpox</v>
      </c>
      <c r="M577" s="55"/>
    </row>
    <row r="578">
      <c r="A578" s="29"/>
      <c r="B578" s="50" t="str">
        <f>IFERROR(__xludf.DUMMYFUNCTION("""COMPUTED_VALUE"""),"     Indirect contact               ")</f>
        <v>     Indirect contact               </v>
      </c>
      <c r="C578" s="29" t="str">
        <f>IFERROR(__xludf.DUMMYFUNCTION("""COMPUTED_VALUE"""),"GENEPIO:0100246")</f>
        <v>GENEPIO:0100246</v>
      </c>
      <c r="D578"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78" s="29"/>
      <c r="F578" s="29"/>
      <c r="G578" s="29"/>
      <c r="H578" s="54" t="s">
        <v>19</v>
      </c>
      <c r="I578" s="54" t="s">
        <v>19</v>
      </c>
      <c r="J578" s="54" t="s">
        <v>19</v>
      </c>
      <c r="K578" s="52" t="str">
        <f t="shared" si="44"/>
        <v>Mpox</v>
      </c>
      <c r="M578" s="55"/>
    </row>
    <row r="579">
      <c r="A579" s="53"/>
      <c r="B579" s="50" t="str">
        <f>IFERROR(__xludf.DUMMYFUNCTION("""COMPUTED_VALUE"""),"          Close contact (face-to-face contact)          ")</f>
        <v>          Close contact (face-to-face contact)          </v>
      </c>
      <c r="C579" s="53" t="str">
        <f>IFERROR(__xludf.DUMMYFUNCTION("""COMPUTED_VALUE"""),"GENEPIO:0100247")</f>
        <v>GENEPIO:0100247</v>
      </c>
      <c r="D579"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79" s="54" t="s">
        <v>19</v>
      </c>
      <c r="I579" s="54" t="s">
        <v>19</v>
      </c>
      <c r="J579" s="54" t="s">
        <v>19</v>
      </c>
      <c r="K579" s="52" t="str">
        <f t="shared" si="44"/>
        <v>Mpox</v>
      </c>
      <c r="M579" s="55"/>
    </row>
    <row r="580">
      <c r="A580" s="53"/>
      <c r="B580" s="50" t="str">
        <f>IFERROR(__xludf.DUMMYFUNCTION("""COMPUTED_VALUE"""),"          Casual contact          ")</f>
        <v>          Casual contact          </v>
      </c>
      <c r="C580" s="53" t="str">
        <f>IFERROR(__xludf.DUMMYFUNCTION("""COMPUTED_VALUE"""),"GENEPIO:0100248")</f>
        <v>GENEPIO:0100248</v>
      </c>
      <c r="D580"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80" s="52" t="s">
        <v>19</v>
      </c>
      <c r="I580" s="52" t="s">
        <v>19</v>
      </c>
      <c r="J580" s="52" t="s">
        <v>19</v>
      </c>
      <c r="K580" s="52" t="str">
        <f t="shared" si="44"/>
        <v>Mpox</v>
      </c>
      <c r="M580" s="55"/>
    </row>
    <row r="581">
      <c r="A581" s="53"/>
      <c r="B581" s="50" t="str">
        <f>IFERROR(__xludf.DUMMYFUNCTION("""COMPUTED_VALUE"""),"Workplace associated transmission                    ")</f>
        <v>Workplace associated transmission                    </v>
      </c>
      <c r="C581" s="53" t="str">
        <f>IFERROR(__xludf.DUMMYFUNCTION("""COMPUTED_VALUE"""),"GENEPIO:0100497")</f>
        <v>GENEPIO:0100497</v>
      </c>
      <c r="D581"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81" s="52" t="s">
        <v>19</v>
      </c>
      <c r="I581" s="52" t="s">
        <v>19</v>
      </c>
      <c r="J581" s="52" t="s">
        <v>19</v>
      </c>
      <c r="K581" s="52" t="str">
        <f t="shared" si="44"/>
        <v>Mpox</v>
      </c>
      <c r="M581" s="55"/>
    </row>
    <row r="582">
      <c r="A582" s="53"/>
      <c r="B582" s="50" t="str">
        <f>IFERROR(__xludf.DUMMYFUNCTION("""COMPUTED_VALUE"""),"     Healthcare associated transmission               ")</f>
        <v>     Healthcare associated transmission               </v>
      </c>
      <c r="C582" s="53" t="str">
        <f>IFERROR(__xludf.DUMMYFUNCTION("""COMPUTED_VALUE"""),"GENEPIO:0100498")</f>
        <v>GENEPIO:0100498</v>
      </c>
      <c r="D582"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82" s="52"/>
      <c r="I582" s="52"/>
      <c r="J582" s="52"/>
      <c r="K582" s="53" t="s">
        <v>31</v>
      </c>
      <c r="L582" s="29" t="str">
        <f>LEFT(A582, LEN(A582) - 5)
</f>
        <v>#VALUE!</v>
      </c>
      <c r="M582" s="58" t="s">
        <v>32</v>
      </c>
    </row>
    <row r="583">
      <c r="A583" s="53"/>
      <c r="B583" s="50" t="str">
        <f>IFERROR(__xludf.DUMMYFUNCTION("""COMPUTED_VALUE"""),"     Laboratory associated transmission               ")</f>
        <v>     Laboratory associated transmission               </v>
      </c>
      <c r="C583" s="53" t="str">
        <f>IFERROR(__xludf.DUMMYFUNCTION("""COMPUTED_VALUE"""),"GENEPIO:0100499")</f>
        <v>GENEPIO:0100499</v>
      </c>
      <c r="D583"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83" s="52" t="s">
        <v>19</v>
      </c>
      <c r="I583" s="52" t="s">
        <v>19</v>
      </c>
      <c r="J583" s="52" t="s">
        <v>19</v>
      </c>
      <c r="K583" s="52" t="str">
        <f t="shared" ref="K583:K595" si="45">K582</f>
        <v>International</v>
      </c>
      <c r="M583" s="55"/>
    </row>
    <row r="584">
      <c r="A584" s="53" t="str">
        <f>IFERROR(__xludf.DUMMYFUNCTION("""COMPUTED_VALUE"""),"exposure contact level international menu")</f>
        <v>exposure contact level international menu</v>
      </c>
      <c r="B584" s="50" t="str">
        <f>IFERROR(__xludf.DUMMYFUNCTION("""COMPUTED_VALUE"""),"                    ")</f>
        <v>                    </v>
      </c>
      <c r="C584" s="53"/>
      <c r="D584" s="29" t="str">
        <f>IFERROR(__xludf.DUMMYFUNCTION("""COMPUTED_VALUE"""),"")</f>
        <v/>
      </c>
      <c r="E584" s="53"/>
      <c r="F584" s="53"/>
      <c r="G584" s="53"/>
      <c r="H584" s="52" t="s">
        <v>19</v>
      </c>
      <c r="I584" s="52" t="s">
        <v>19</v>
      </c>
      <c r="J584" s="52" t="s">
        <v>19</v>
      </c>
      <c r="K584" s="52" t="str">
        <f t="shared" si="45"/>
        <v>International</v>
      </c>
      <c r="M584" s="55"/>
    </row>
    <row r="585">
      <c r="A585" s="53"/>
      <c r="B585" s="50" t="str">
        <f>IFERROR(__xludf.DUMMYFUNCTION("""COMPUTED_VALUE"""),"Contact with animal [GENEPIO:0100494]                    ")</f>
        <v>Contact with animal [GENEPIO:0100494]                    </v>
      </c>
      <c r="C585" s="53" t="str">
        <f>IFERROR(__xludf.DUMMYFUNCTION("""COMPUTED_VALUE"""),"GENEPIO:0100494")</f>
        <v>GENEPIO:0100494</v>
      </c>
      <c r="D585"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H585" s="52" t="s">
        <v>19</v>
      </c>
      <c r="I585" s="52" t="s">
        <v>19</v>
      </c>
      <c r="J585" s="52" t="s">
        <v>19</v>
      </c>
      <c r="K585" s="52" t="str">
        <f t="shared" si="45"/>
        <v>International</v>
      </c>
      <c r="M585" s="55"/>
    </row>
    <row r="586">
      <c r="A586" s="53"/>
      <c r="B586" s="50" t="str">
        <f>IFERROR(__xludf.DUMMYFUNCTION("""COMPUTED_VALUE"""),"     Contact with rodent [GENEPIO:0100495]               ")</f>
        <v>     Contact with rodent [GENEPIO:0100495]               </v>
      </c>
      <c r="C586" s="53" t="str">
        <f>IFERROR(__xludf.DUMMYFUNCTION("""COMPUTED_VALUE"""),"GENEPIO:0100495")</f>
        <v>GENEPIO:0100495</v>
      </c>
      <c r="D586"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H586" s="52" t="s">
        <v>19</v>
      </c>
      <c r="I586" s="52" t="s">
        <v>19</v>
      </c>
      <c r="J586" s="52" t="s">
        <v>19</v>
      </c>
      <c r="K586" s="52" t="str">
        <f t="shared" si="45"/>
        <v>International</v>
      </c>
      <c r="M586" s="55"/>
    </row>
    <row r="587">
      <c r="A587" s="53"/>
      <c r="B587" s="50" t="str">
        <f>IFERROR(__xludf.DUMMYFUNCTION("""COMPUTED_VALUE"""),"Contact with fomite [GENEPIO:0100496]                    ")</f>
        <v>Contact with fomite [GENEPIO:0100496]                    </v>
      </c>
      <c r="C587" s="53" t="str">
        <f>IFERROR(__xludf.DUMMYFUNCTION("""COMPUTED_VALUE"""),"GENEPIO:0100496")</f>
        <v>GENEPIO:0100496</v>
      </c>
      <c r="D587"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H587" s="52" t="s">
        <v>19</v>
      </c>
      <c r="I587" s="52" t="s">
        <v>19</v>
      </c>
      <c r="J587" s="52" t="s">
        <v>19</v>
      </c>
      <c r="K587" s="52" t="str">
        <f t="shared" si="45"/>
        <v>International</v>
      </c>
      <c r="M587" s="55"/>
    </row>
    <row r="588">
      <c r="A588" s="53"/>
      <c r="B588" s="50" t="str">
        <f>IFERROR(__xludf.DUMMYFUNCTION("""COMPUTED_VALUE"""),"Contact with infected individual [GENEPIO:0100357]                    ")</f>
        <v>Contact with infected individual [GENEPIO:0100357]                    </v>
      </c>
      <c r="C588" s="53" t="str">
        <f>IFERROR(__xludf.DUMMYFUNCTION("""COMPUTED_VALUE"""),"GENEPIO:0100357")</f>
        <v>GENEPIO:0100357</v>
      </c>
      <c r="D588"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H588" s="52" t="s">
        <v>19</v>
      </c>
      <c r="I588" s="52" t="s">
        <v>19</v>
      </c>
      <c r="J588" s="52" t="s">
        <v>19</v>
      </c>
      <c r="K588" s="52" t="str">
        <f t="shared" si="45"/>
        <v>International</v>
      </c>
      <c r="M588" s="55"/>
    </row>
    <row r="589">
      <c r="A589" s="53"/>
      <c r="B589" s="50" t="str">
        <f>IFERROR(__xludf.DUMMYFUNCTION("""COMPUTED_VALUE"""),"     Direct (human-to-human contact) [TRANS:0000001]               ")</f>
        <v>     Direct (human-to-human contact) [TRANS:0000001]               </v>
      </c>
      <c r="C589" s="53" t="str">
        <f>IFERROR(__xludf.DUMMYFUNCTION("""COMPUTED_VALUE"""),"TRANS:0000001")</f>
        <v>TRANS:0000001</v>
      </c>
      <c r="D589"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89" s="54" t="s">
        <v>19</v>
      </c>
      <c r="I589" s="54" t="s">
        <v>19</v>
      </c>
      <c r="J589" s="54" t="s">
        <v>19</v>
      </c>
      <c r="K589" s="52" t="str">
        <f t="shared" si="45"/>
        <v>International</v>
      </c>
    </row>
    <row r="590">
      <c r="A590" s="53"/>
      <c r="B590" s="50" t="str">
        <f>IFERROR(__xludf.DUMMYFUNCTION("""COMPUTED_VALUE"""),"          Mother-to-child transmission [TRANS:0000006]          ")</f>
        <v>          Mother-to-child transmission [TRANS:0000006]          </v>
      </c>
      <c r="C590" s="53" t="str">
        <f>IFERROR(__xludf.DUMMYFUNCTION("""COMPUTED_VALUE"""),"TRANS:0000006")</f>
        <v>TRANS:0000006</v>
      </c>
      <c r="D590"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H590" s="52" t="s">
        <v>19</v>
      </c>
      <c r="I590" s="52" t="s">
        <v>19</v>
      </c>
      <c r="J590" s="52" t="s">
        <v>19</v>
      </c>
      <c r="K590" s="52" t="str">
        <f t="shared" si="45"/>
        <v>International</v>
      </c>
      <c r="M590" s="56"/>
    </row>
    <row r="591">
      <c r="A591" s="53"/>
      <c r="B591" s="50" t="str">
        <f>IFERROR(__xludf.DUMMYFUNCTION("""COMPUTED_VALUE"""),"          Sexual transmission [NCIT:C19085]          ")</f>
        <v>          Sexual transmission [NCIT:C19085]          </v>
      </c>
      <c r="C591" s="53" t="str">
        <f>IFERROR(__xludf.DUMMYFUNCTION("""COMPUTED_VALUE"""),"NCIT:C19085")</f>
        <v>NCIT:C19085</v>
      </c>
      <c r="D591"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H591" s="52" t="s">
        <v>19</v>
      </c>
      <c r="I591" s="52" t="s">
        <v>19</v>
      </c>
      <c r="J591" s="52" t="s">
        <v>19</v>
      </c>
      <c r="K591" s="52" t="str">
        <f t="shared" si="45"/>
        <v>International</v>
      </c>
      <c r="M591" s="55"/>
    </row>
    <row r="592">
      <c r="A592" s="53"/>
      <c r="B592" s="50" t="str">
        <f>IFERROR(__xludf.DUMMYFUNCTION("""COMPUTED_VALUE"""),"     Indirect contact [GENEPIO:0100246]               ")</f>
        <v>     Indirect contact [GENEPIO:0100246]               </v>
      </c>
      <c r="C592" s="53" t="str">
        <f>IFERROR(__xludf.DUMMYFUNCTION("""COMPUTED_VALUE"""),"GENEPIO:0100246")</f>
        <v>GENEPIO:0100246</v>
      </c>
      <c r="D592"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92" s="52" t="s">
        <v>19</v>
      </c>
      <c r="I592" s="52" t="s">
        <v>19</v>
      </c>
      <c r="J592" s="52" t="s">
        <v>19</v>
      </c>
      <c r="K592" s="52" t="str">
        <f t="shared" si="45"/>
        <v>International</v>
      </c>
      <c r="M592" s="55"/>
    </row>
    <row r="593">
      <c r="A593" s="53"/>
      <c r="B593" s="50" t="str">
        <f>IFERROR(__xludf.DUMMYFUNCTION("""COMPUTED_VALUE"""),"          Close contact (face-to-face contact) [GENEPIO:0100247]          ")</f>
        <v>          Close contact (face-to-face contact) [GENEPIO:0100247]          </v>
      </c>
      <c r="C593" s="53" t="str">
        <f>IFERROR(__xludf.DUMMYFUNCTION("""COMPUTED_VALUE"""),"GENEPIO:0100247")</f>
        <v>GENEPIO:0100247</v>
      </c>
      <c r="D593"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93" s="52" t="s">
        <v>19</v>
      </c>
      <c r="I593" s="52" t="s">
        <v>19</v>
      </c>
      <c r="J593" s="52" t="s">
        <v>19</v>
      </c>
      <c r="K593" s="52" t="str">
        <f t="shared" si="45"/>
        <v>International</v>
      </c>
      <c r="M593" s="55"/>
    </row>
    <row r="594">
      <c r="A594" s="53"/>
      <c r="B594" s="50" t="str">
        <f>IFERROR(__xludf.DUMMYFUNCTION("""COMPUTED_VALUE"""),"          Casual contact [GENEPIO:0100248]          ")</f>
        <v>          Casual contact [GENEPIO:0100248]          </v>
      </c>
      <c r="C594" s="53" t="str">
        <f>IFERROR(__xludf.DUMMYFUNCTION("""COMPUTED_VALUE"""),"GENEPIO:0100248")</f>
        <v>GENEPIO:0100248</v>
      </c>
      <c r="D594"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94" s="52" t="s">
        <v>19</v>
      </c>
      <c r="I594" s="52" t="s">
        <v>19</v>
      </c>
      <c r="J594" s="52" t="s">
        <v>19</v>
      </c>
      <c r="K594" s="52" t="str">
        <f t="shared" si="45"/>
        <v>International</v>
      </c>
      <c r="M594" s="55"/>
    </row>
    <row r="595">
      <c r="A595" s="53"/>
      <c r="B595" s="50" t="str">
        <f>IFERROR(__xludf.DUMMYFUNCTION("""COMPUTED_VALUE"""),"Workplace associated transmission [GENEPIO:0100497]                    ")</f>
        <v>Workplace associated transmission [GENEPIO:0100497]                    </v>
      </c>
      <c r="C595" s="53" t="str">
        <f>IFERROR(__xludf.DUMMYFUNCTION("""COMPUTED_VALUE"""),"GENEPIO:0100497")</f>
        <v>GENEPIO:0100497</v>
      </c>
      <c r="D595"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95" s="52" t="s">
        <v>19</v>
      </c>
      <c r="I595" s="52" t="s">
        <v>19</v>
      </c>
      <c r="J595" s="52" t="s">
        <v>19</v>
      </c>
      <c r="K595" s="52" t="str">
        <f t="shared" si="45"/>
        <v>International</v>
      </c>
      <c r="M595" s="55"/>
    </row>
    <row r="596">
      <c r="A596" s="53"/>
      <c r="B596" s="50" t="str">
        <f>IFERROR(__xludf.DUMMYFUNCTION("""COMPUTED_VALUE"""),"     Healthcare associated transmission [GENEPIO:0100498]               ")</f>
        <v>     Healthcare associated transmission [GENEPIO:0100498]               </v>
      </c>
      <c r="C596" s="53" t="str">
        <f>IFERROR(__xludf.DUMMYFUNCTION("""COMPUTED_VALUE"""),"GENEPIO:0100498")</f>
        <v>GENEPIO:0100498</v>
      </c>
      <c r="D596"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96" s="52"/>
      <c r="I596" s="52"/>
      <c r="J596" s="52"/>
      <c r="K596" s="53" t="s">
        <v>29</v>
      </c>
      <c r="L596" s="53" t="str">
        <f>LEFT(A596, LEN(A596) - 5)
</f>
        <v>#VALUE!</v>
      </c>
      <c r="M596" s="60" t="s">
        <v>29</v>
      </c>
    </row>
    <row r="597">
      <c r="A597" s="53"/>
      <c r="B597" s="50" t="str">
        <f>IFERROR(__xludf.DUMMYFUNCTION("""COMPUTED_VALUE"""),"     Laboratory associated transmission [GENEPIO:0100499]               ")</f>
        <v>     Laboratory associated transmission [GENEPIO:0100499]               </v>
      </c>
      <c r="C597" s="53" t="str">
        <f>IFERROR(__xludf.DUMMYFUNCTION("""COMPUTED_VALUE"""),"GENEPIO:0100499")</f>
        <v>GENEPIO:0100499</v>
      </c>
      <c r="D597"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97" s="52" t="s">
        <v>19</v>
      </c>
      <c r="I597" s="52" t="s">
        <v>19</v>
      </c>
      <c r="J597" s="52" t="s">
        <v>19</v>
      </c>
      <c r="K597" s="52" t="str">
        <f t="shared" ref="K597:K631" si="46">K596</f>
        <v>Mpox</v>
      </c>
      <c r="M597" s="55"/>
    </row>
    <row r="598">
      <c r="A598" s="53" t="str">
        <f>IFERROR(__xludf.DUMMYFUNCTION("""COMPUTED_VALUE"""),"host role menu")</f>
        <v>host role menu</v>
      </c>
      <c r="B598" s="50" t="str">
        <f>IFERROR(__xludf.DUMMYFUNCTION("""COMPUTED_VALUE"""),"                    ")</f>
        <v>                    </v>
      </c>
      <c r="C598" s="53"/>
      <c r="D598" s="29" t="str">
        <f>IFERROR(__xludf.DUMMYFUNCTION("""COMPUTED_VALUE"""),"")</f>
        <v/>
      </c>
      <c r="E598" s="53"/>
      <c r="F598" s="53"/>
      <c r="G598" s="53"/>
      <c r="H598" s="52" t="s">
        <v>19</v>
      </c>
      <c r="I598" s="52" t="s">
        <v>19</v>
      </c>
      <c r="J598" s="52" t="s">
        <v>19</v>
      </c>
      <c r="K598" s="52" t="str">
        <f t="shared" si="46"/>
        <v>Mpox</v>
      </c>
      <c r="M598" s="55"/>
    </row>
    <row r="599">
      <c r="A599" s="53"/>
      <c r="B599" s="50" t="str">
        <f>IFERROR(__xludf.DUMMYFUNCTION("""COMPUTED_VALUE"""),"Attendee                    ")</f>
        <v>Attendee                    </v>
      </c>
      <c r="C599" s="53" t="str">
        <f>IFERROR(__xludf.DUMMYFUNCTION("""COMPUTED_VALUE"""),"GENEPIO:0100249")</f>
        <v>GENEPIO:0100249</v>
      </c>
      <c r="D599"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99" s="52" t="s">
        <v>19</v>
      </c>
      <c r="I599" s="52" t="s">
        <v>19</v>
      </c>
      <c r="J599" s="52" t="s">
        <v>19</v>
      </c>
      <c r="K599" s="52" t="str">
        <f t="shared" si="46"/>
        <v>Mpox</v>
      </c>
      <c r="M599" s="55"/>
    </row>
    <row r="600">
      <c r="A600" s="53"/>
      <c r="B600" s="50" t="str">
        <f>IFERROR(__xludf.DUMMYFUNCTION("""COMPUTED_VALUE"""),"     Student               ")</f>
        <v>     Student               </v>
      </c>
      <c r="C600" s="53" t="str">
        <f>IFERROR(__xludf.DUMMYFUNCTION("""COMPUTED_VALUE"""),"OMRSE:00000058")</f>
        <v>OMRSE:00000058</v>
      </c>
      <c r="D600"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600" s="52" t="s">
        <v>19</v>
      </c>
      <c r="I600" s="52" t="s">
        <v>19</v>
      </c>
      <c r="J600" s="52" t="s">
        <v>19</v>
      </c>
      <c r="K600" s="52" t="str">
        <f t="shared" si="46"/>
        <v>Mpox</v>
      </c>
      <c r="M600" s="55"/>
    </row>
    <row r="601">
      <c r="A601" s="53"/>
      <c r="B601" s="50" t="str">
        <f>IFERROR(__xludf.DUMMYFUNCTION("""COMPUTED_VALUE"""),"Patient                    ")</f>
        <v>Patient                    </v>
      </c>
      <c r="C601" s="53" t="str">
        <f>IFERROR(__xludf.DUMMYFUNCTION("""COMPUTED_VALUE"""),"OMRSE:00000030")</f>
        <v>OMRSE:00000030</v>
      </c>
      <c r="D601" s="29" t="str">
        <f>IFERROR(__xludf.DUMMYFUNCTION("""COMPUTED_VALUE"""),"A patient role that inheres in a human being.")</f>
        <v>A patient role that inheres in a human being.</v>
      </c>
      <c r="H601" s="52" t="s">
        <v>19</v>
      </c>
      <c r="I601" s="52" t="s">
        <v>19</v>
      </c>
      <c r="J601" s="52" t="s">
        <v>19</v>
      </c>
      <c r="K601" s="52" t="str">
        <f t="shared" si="46"/>
        <v>Mpox</v>
      </c>
      <c r="M601" s="55"/>
    </row>
    <row r="602">
      <c r="A602" s="53"/>
      <c r="B602" s="50" t="str">
        <f>IFERROR(__xludf.DUMMYFUNCTION("""COMPUTED_VALUE"""),"     Inpatient               ")</f>
        <v>     Inpatient               </v>
      </c>
      <c r="C602" s="53" t="str">
        <f>IFERROR(__xludf.DUMMYFUNCTION("""COMPUTED_VALUE"""),"NCIT:C25182")</f>
        <v>NCIT:C25182</v>
      </c>
      <c r="D602" s="29" t="str">
        <f>IFERROR(__xludf.DUMMYFUNCTION("""COMPUTED_VALUE"""),"A patient who is residing in the hospital where he is being treated.")</f>
        <v>A patient who is residing in the hospital where he is being treated.</v>
      </c>
      <c r="H602" s="52" t="s">
        <v>19</v>
      </c>
      <c r="I602" s="52" t="s">
        <v>19</v>
      </c>
      <c r="J602" s="52" t="s">
        <v>19</v>
      </c>
      <c r="K602" s="52" t="str">
        <f t="shared" si="46"/>
        <v>Mpox</v>
      </c>
      <c r="M602" s="55"/>
    </row>
    <row r="603">
      <c r="A603" s="53"/>
      <c r="B603" s="50" t="str">
        <f>IFERROR(__xludf.DUMMYFUNCTION("""COMPUTED_VALUE"""),"     Outpatient               ")</f>
        <v>     Outpatient               </v>
      </c>
      <c r="C603" s="53" t="str">
        <f>IFERROR(__xludf.DUMMYFUNCTION("""COMPUTED_VALUE"""),"NCIT:C28293")</f>
        <v>NCIT:C28293</v>
      </c>
      <c r="D603"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603" s="52" t="s">
        <v>19</v>
      </c>
      <c r="I603" s="52" t="s">
        <v>19</v>
      </c>
      <c r="J603" s="52" t="s">
        <v>19</v>
      </c>
      <c r="K603" s="52" t="str">
        <f t="shared" si="46"/>
        <v>Mpox</v>
      </c>
      <c r="M603" s="55"/>
    </row>
    <row r="604">
      <c r="A604" s="53"/>
      <c r="B604" s="50" t="str">
        <f>IFERROR(__xludf.DUMMYFUNCTION("""COMPUTED_VALUE"""),"Passenger                    ")</f>
        <v>Passenger                    </v>
      </c>
      <c r="C604" s="53" t="str">
        <f>IFERROR(__xludf.DUMMYFUNCTION("""COMPUTED_VALUE"""),"GENEPIO:0100250")</f>
        <v>GENEPIO:0100250</v>
      </c>
      <c r="D604"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604" s="52" t="s">
        <v>19</v>
      </c>
      <c r="I604" s="52" t="s">
        <v>19</v>
      </c>
      <c r="J604" s="52" t="s">
        <v>19</v>
      </c>
      <c r="K604" s="52" t="str">
        <f t="shared" si="46"/>
        <v>Mpox</v>
      </c>
      <c r="M604" s="55"/>
    </row>
    <row r="605">
      <c r="A605" s="53"/>
      <c r="B605" s="50" t="str">
        <f>IFERROR(__xludf.DUMMYFUNCTION("""COMPUTED_VALUE"""),"Resident                    ")</f>
        <v>Resident                    </v>
      </c>
      <c r="C605" s="53" t="str">
        <f>IFERROR(__xludf.DUMMYFUNCTION("""COMPUTED_VALUE"""),"GENEPIO:0100251")</f>
        <v>GENEPIO:0100251</v>
      </c>
      <c r="D605" s="29" t="str">
        <f>IFERROR(__xludf.DUMMYFUNCTION("""COMPUTED_VALUE"""),"A role inhering in a person that is realized when the bearer maintains residency in a given place.")</f>
        <v>A role inhering in a person that is realized when the bearer maintains residency in a given place.</v>
      </c>
      <c r="H605" s="52" t="s">
        <v>19</v>
      </c>
      <c r="I605" s="52" t="s">
        <v>19</v>
      </c>
      <c r="J605" s="52" t="s">
        <v>19</v>
      </c>
      <c r="K605" s="52" t="str">
        <f t="shared" si="46"/>
        <v>Mpox</v>
      </c>
      <c r="M605" s="55"/>
    </row>
    <row r="606">
      <c r="A606" s="53"/>
      <c r="B606" s="50" t="str">
        <f>IFERROR(__xludf.DUMMYFUNCTION("""COMPUTED_VALUE"""),"Visitor                    ")</f>
        <v>Visitor                    </v>
      </c>
      <c r="C606" s="53" t="str">
        <f>IFERROR(__xludf.DUMMYFUNCTION("""COMPUTED_VALUE"""),"GENEPIO:0100252")</f>
        <v>GENEPIO:0100252</v>
      </c>
      <c r="D606" s="29" t="str">
        <f>IFERROR(__xludf.DUMMYFUNCTION("""COMPUTED_VALUE"""),"A role inhering in a person that is realized when the bearer pays a visit to a specific place or event.")</f>
        <v>A role inhering in a person that is realized when the bearer pays a visit to a specific place or event.</v>
      </c>
      <c r="H606" s="52" t="s">
        <v>19</v>
      </c>
      <c r="I606" s="52" t="s">
        <v>19</v>
      </c>
      <c r="J606" s="52" t="s">
        <v>19</v>
      </c>
      <c r="K606" s="52" t="str">
        <f t="shared" si="46"/>
        <v>Mpox</v>
      </c>
      <c r="M606" s="55"/>
    </row>
    <row r="607">
      <c r="A607" s="53"/>
      <c r="B607" s="50" t="str">
        <f>IFERROR(__xludf.DUMMYFUNCTION("""COMPUTED_VALUE"""),"Volunteer                    ")</f>
        <v>Volunteer                    </v>
      </c>
      <c r="C607" s="53" t="str">
        <f>IFERROR(__xludf.DUMMYFUNCTION("""COMPUTED_VALUE"""),"GENEPIO:0100253")</f>
        <v>GENEPIO:0100253</v>
      </c>
      <c r="D607" s="29" t="str">
        <f>IFERROR(__xludf.DUMMYFUNCTION("""COMPUTED_VALUE"""),"A role inhering in a person that is realized when the bearer enters into any service of their own free will.")</f>
        <v>A role inhering in a person that is realized when the bearer enters into any service of their own free will.</v>
      </c>
      <c r="H607" s="52" t="s">
        <v>19</v>
      </c>
      <c r="I607" s="52" t="s">
        <v>19</v>
      </c>
      <c r="J607" s="52" t="s">
        <v>19</v>
      </c>
      <c r="K607" s="52" t="str">
        <f t="shared" si="46"/>
        <v>Mpox</v>
      </c>
      <c r="M607" s="55"/>
    </row>
    <row r="608">
      <c r="A608" s="53"/>
      <c r="B608" s="50" t="str">
        <f>IFERROR(__xludf.DUMMYFUNCTION("""COMPUTED_VALUE"""),"Work                    ")</f>
        <v>Work                    </v>
      </c>
      <c r="C608" s="53" t="str">
        <f>IFERROR(__xludf.DUMMYFUNCTION("""COMPUTED_VALUE"""),"GENEPIO:0100254")</f>
        <v>GENEPIO:0100254</v>
      </c>
      <c r="D608" s="29" t="str">
        <f>IFERROR(__xludf.DUMMYFUNCTION("""COMPUTED_VALUE"""),"A role inhering in a person that is realized when the bearer performs labor for a living.")</f>
        <v>A role inhering in a person that is realized when the bearer performs labor for a living.</v>
      </c>
      <c r="H608" s="52" t="s">
        <v>19</v>
      </c>
      <c r="I608" s="52" t="s">
        <v>19</v>
      </c>
      <c r="J608" s="52" t="s">
        <v>19</v>
      </c>
      <c r="K608" s="52" t="str">
        <f t="shared" si="46"/>
        <v>Mpox</v>
      </c>
      <c r="M608" s="55"/>
    </row>
    <row r="609">
      <c r="A609" s="53"/>
      <c r="B609" s="50" t="str">
        <f>IFERROR(__xludf.DUMMYFUNCTION("""COMPUTED_VALUE"""),"     Administrator               ")</f>
        <v>     Administrator               </v>
      </c>
      <c r="C609" s="53" t="str">
        <f>IFERROR(__xludf.DUMMYFUNCTION("""COMPUTED_VALUE"""),"GENEPIO:0100255")</f>
        <v>GENEPIO:0100255</v>
      </c>
      <c r="D609"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609" s="52" t="s">
        <v>19</v>
      </c>
      <c r="I609" s="52" t="s">
        <v>19</v>
      </c>
      <c r="J609" s="52" t="s">
        <v>19</v>
      </c>
      <c r="K609" s="52" t="str">
        <f t="shared" si="46"/>
        <v>Mpox</v>
      </c>
      <c r="M609" s="55"/>
    </row>
    <row r="610">
      <c r="A610" s="53"/>
      <c r="B610" s="50" t="str">
        <f>IFERROR(__xludf.DUMMYFUNCTION("""COMPUTED_VALUE"""),"     First Responder               ")</f>
        <v>     First Responder               </v>
      </c>
      <c r="C610" s="53" t="str">
        <f>IFERROR(__xludf.DUMMYFUNCTION("""COMPUTED_VALUE"""),"GENEPIO:0100256")</f>
        <v>GENEPIO:0100256</v>
      </c>
      <c r="D610"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610" s="52" t="s">
        <v>19</v>
      </c>
      <c r="I610" s="52" t="s">
        <v>19</v>
      </c>
      <c r="J610" s="52" t="s">
        <v>19</v>
      </c>
      <c r="K610" s="52" t="str">
        <f t="shared" si="46"/>
        <v>Mpox</v>
      </c>
      <c r="M610" s="55"/>
    </row>
    <row r="611">
      <c r="A611" s="53"/>
      <c r="B611" s="50" t="str">
        <f>IFERROR(__xludf.DUMMYFUNCTION("""COMPUTED_VALUE"""),"     Housekeeper               ")</f>
        <v>     Housekeeper               </v>
      </c>
      <c r="C611" s="53" t="str">
        <f>IFERROR(__xludf.DUMMYFUNCTION("""COMPUTED_VALUE"""),"GENEPIO:0100260")</f>
        <v>GENEPIO:0100260</v>
      </c>
      <c r="D611"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611" s="52" t="s">
        <v>19</v>
      </c>
      <c r="I611" s="52" t="s">
        <v>19</v>
      </c>
      <c r="J611" s="52" t="s">
        <v>19</v>
      </c>
      <c r="K611" s="52" t="str">
        <f t="shared" si="46"/>
        <v>Mpox</v>
      </c>
      <c r="M611" s="55"/>
    </row>
    <row r="612">
      <c r="A612" s="53"/>
      <c r="B612" s="50" t="str">
        <f>IFERROR(__xludf.DUMMYFUNCTION("""COMPUTED_VALUE"""),"     Kitchen Worker               ")</f>
        <v>     Kitchen Worker               </v>
      </c>
      <c r="C612" s="53" t="str">
        <f>IFERROR(__xludf.DUMMYFUNCTION("""COMPUTED_VALUE"""),"GENEPIO:0100261")</f>
        <v>GENEPIO:0100261</v>
      </c>
      <c r="D612" s="29" t="str">
        <f>IFERROR(__xludf.DUMMYFUNCTION("""COMPUTED_VALUE"""),"A role inhering in a person that is realized when the bearer is an employee that performs labor in a kitchen.")</f>
        <v>A role inhering in a person that is realized when the bearer is an employee that performs labor in a kitchen.</v>
      </c>
      <c r="H612" s="52" t="s">
        <v>19</v>
      </c>
      <c r="I612" s="52" t="s">
        <v>19</v>
      </c>
      <c r="J612" s="52" t="s">
        <v>19</v>
      </c>
      <c r="K612" s="52" t="str">
        <f t="shared" si="46"/>
        <v>Mpox</v>
      </c>
      <c r="M612" s="55"/>
    </row>
    <row r="613">
      <c r="A613" s="53"/>
      <c r="B613" s="50" t="str">
        <f>IFERROR(__xludf.DUMMYFUNCTION("""COMPUTED_VALUE"""),"     Healthcare Worker               ")</f>
        <v>     Healthcare Worker               </v>
      </c>
      <c r="C613" s="53" t="str">
        <f>IFERROR(__xludf.DUMMYFUNCTION("""COMPUTED_VALUE"""),"GENEPIO:0100334")</f>
        <v>GENEPIO:0100334</v>
      </c>
      <c r="D613"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613" s="52" t="s">
        <v>19</v>
      </c>
      <c r="I613" s="52" t="s">
        <v>19</v>
      </c>
      <c r="J613" s="52" t="s">
        <v>19</v>
      </c>
      <c r="K613" s="52" t="str">
        <f t="shared" si="46"/>
        <v>Mpox</v>
      </c>
      <c r="M613" s="55"/>
    </row>
    <row r="614">
      <c r="A614" s="53"/>
      <c r="B614" s="50" t="str">
        <f>IFERROR(__xludf.DUMMYFUNCTION("""COMPUTED_VALUE"""),"          Community Healthcare Worker          ")</f>
        <v>          Community Healthcare Worker          </v>
      </c>
      <c r="C614" s="53" t="str">
        <f>IFERROR(__xludf.DUMMYFUNCTION("""COMPUTED_VALUE"""),"GENEPIO:0100420")</f>
        <v>GENEPIO:0100420</v>
      </c>
      <c r="D614"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614" s="52" t="s">
        <v>19</v>
      </c>
      <c r="I614" s="52" t="s">
        <v>19</v>
      </c>
      <c r="J614" s="52" t="s">
        <v>19</v>
      </c>
      <c r="K614" s="52" t="str">
        <f t="shared" si="46"/>
        <v>Mpox</v>
      </c>
      <c r="M614" s="55"/>
    </row>
    <row r="615">
      <c r="A615" s="29"/>
      <c r="B615" s="50" t="str">
        <f>IFERROR(__xludf.DUMMYFUNCTION("""COMPUTED_VALUE"""),"          Laboratory Worker          ")</f>
        <v>          Laboratory Worker          </v>
      </c>
      <c r="C615" s="29" t="str">
        <f>IFERROR(__xludf.DUMMYFUNCTION("""COMPUTED_VALUE"""),"GENEPIO:0100262")</f>
        <v>GENEPIO:0100262</v>
      </c>
      <c r="D615"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15" s="29"/>
      <c r="F615" s="29"/>
      <c r="G615" s="29"/>
      <c r="H615" s="54" t="s">
        <v>19</v>
      </c>
      <c r="I615" s="54" t="s">
        <v>19</v>
      </c>
      <c r="J615" s="54" t="s">
        <v>19</v>
      </c>
      <c r="K615" s="52" t="str">
        <f t="shared" si="46"/>
        <v>Mpox</v>
      </c>
      <c r="M615" s="55"/>
    </row>
    <row r="616">
      <c r="A616" s="29"/>
      <c r="B616" s="50" t="str">
        <f>IFERROR(__xludf.DUMMYFUNCTION("""COMPUTED_VALUE"""),"          Nurse          ")</f>
        <v>          Nurse          </v>
      </c>
      <c r="C616" s="29" t="str">
        <f>IFERROR(__xludf.DUMMYFUNCTION("""COMPUTED_VALUE"""),"OMRSE:00000014")</f>
        <v>OMRSE:00000014</v>
      </c>
      <c r="D616"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E616" s="29"/>
      <c r="F616" s="29"/>
      <c r="G616" s="29"/>
      <c r="H616" s="54" t="s">
        <v>19</v>
      </c>
      <c r="I616" s="54" t="s">
        <v>19</v>
      </c>
      <c r="J616" s="54" t="s">
        <v>19</v>
      </c>
      <c r="K616" s="52" t="str">
        <f t="shared" si="46"/>
        <v>Mpox</v>
      </c>
      <c r="M616" s="55"/>
    </row>
    <row r="617">
      <c r="A617" s="29"/>
      <c r="B617" s="50" t="str">
        <f>IFERROR(__xludf.DUMMYFUNCTION("""COMPUTED_VALUE"""),"          Personal Care Aid          ")</f>
        <v>          Personal Care Aid          </v>
      </c>
      <c r="C617" s="29" t="str">
        <f>IFERROR(__xludf.DUMMYFUNCTION("""COMPUTED_VALUE"""),"GENEPIO:0100263")</f>
        <v>GENEPIO:0100263</v>
      </c>
      <c r="D617"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17" s="29"/>
      <c r="F617" s="29"/>
      <c r="G617" s="29"/>
      <c r="H617" s="54" t="s">
        <v>19</v>
      </c>
      <c r="I617" s="54" t="s">
        <v>19</v>
      </c>
      <c r="J617" s="54" t="s">
        <v>19</v>
      </c>
      <c r="K617" s="52" t="str">
        <f t="shared" si="46"/>
        <v>Mpox</v>
      </c>
      <c r="M617" s="55"/>
    </row>
    <row r="618">
      <c r="A618" s="29"/>
      <c r="B618" s="50" t="str">
        <f>IFERROR(__xludf.DUMMYFUNCTION("""COMPUTED_VALUE"""),"          Pharmacist          ")</f>
        <v>          Pharmacist          </v>
      </c>
      <c r="C618" s="29" t="str">
        <f>IFERROR(__xludf.DUMMYFUNCTION("""COMPUTED_VALUE"""),"GENEPIO:0100264")</f>
        <v>GENEPIO:0100264</v>
      </c>
      <c r="D618"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18" s="29"/>
      <c r="F618" s="29"/>
      <c r="G618" s="29"/>
      <c r="H618" s="54" t="s">
        <v>19</v>
      </c>
      <c r="I618" s="54" t="s">
        <v>19</v>
      </c>
      <c r="J618" s="54" t="s">
        <v>19</v>
      </c>
      <c r="K618" s="52" t="str">
        <f t="shared" si="46"/>
        <v>Mpox</v>
      </c>
      <c r="M618" s="55"/>
    </row>
    <row r="619">
      <c r="A619" s="29"/>
      <c r="B619" s="50" t="str">
        <f>IFERROR(__xludf.DUMMYFUNCTION("""COMPUTED_VALUE"""),"          Physician          ")</f>
        <v>          Physician          </v>
      </c>
      <c r="C619" s="29" t="str">
        <f>IFERROR(__xludf.DUMMYFUNCTION("""COMPUTED_VALUE"""),"OMRSE:00000013")</f>
        <v>OMRSE:00000013</v>
      </c>
      <c r="D619"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E619" s="29"/>
      <c r="F619" s="29"/>
      <c r="G619" s="29"/>
      <c r="H619" s="54" t="s">
        <v>19</v>
      </c>
      <c r="I619" s="54" t="s">
        <v>19</v>
      </c>
      <c r="J619" s="54" t="s">
        <v>19</v>
      </c>
      <c r="K619" s="52" t="str">
        <f t="shared" si="46"/>
        <v>Mpox</v>
      </c>
      <c r="M619" s="55"/>
    </row>
    <row r="620">
      <c r="A620" s="29"/>
      <c r="B620" s="50" t="str">
        <f>IFERROR(__xludf.DUMMYFUNCTION("""COMPUTED_VALUE"""),"     Rotational Worker               ")</f>
        <v>     Rotational Worker               </v>
      </c>
      <c r="C620" s="29" t="str">
        <f>IFERROR(__xludf.DUMMYFUNCTION("""COMPUTED_VALUE"""),"GENEPIO:0100354")</f>
        <v>GENEPIO:0100354</v>
      </c>
      <c r="D620"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20" s="29"/>
      <c r="F620" s="29"/>
      <c r="G620" s="29"/>
      <c r="H620" s="54" t="s">
        <v>19</v>
      </c>
      <c r="I620" s="54" t="s">
        <v>19</v>
      </c>
      <c r="J620" s="54" t="s">
        <v>19</v>
      </c>
      <c r="K620" s="52" t="str">
        <f t="shared" si="46"/>
        <v>Mpox</v>
      </c>
      <c r="M620" s="55"/>
    </row>
    <row r="621">
      <c r="A621" s="29"/>
      <c r="B621" s="50" t="str">
        <f>IFERROR(__xludf.DUMMYFUNCTION("""COMPUTED_VALUE"""),"     Seasonal Worker               ")</f>
        <v>     Seasonal Worker               </v>
      </c>
      <c r="C621" s="29" t="str">
        <f>IFERROR(__xludf.DUMMYFUNCTION("""COMPUTED_VALUE"""),"GENEPIO:0100355")</f>
        <v>GENEPIO:0100355</v>
      </c>
      <c r="D621"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21" s="29"/>
      <c r="F621" s="29"/>
      <c r="G621" s="29"/>
      <c r="H621" s="54" t="s">
        <v>19</v>
      </c>
      <c r="I621" s="54" t="s">
        <v>19</v>
      </c>
      <c r="J621" s="54" t="s">
        <v>19</v>
      </c>
      <c r="K621" s="52" t="str">
        <f t="shared" si="46"/>
        <v>Mpox</v>
      </c>
      <c r="M621" s="55"/>
    </row>
    <row r="622">
      <c r="A622" s="29"/>
      <c r="B622" s="50" t="str">
        <f>IFERROR(__xludf.DUMMYFUNCTION("""COMPUTED_VALUE"""),"     Sex Worker               ")</f>
        <v>     Sex Worker               </v>
      </c>
      <c r="C622" s="29" t="str">
        <f>IFERROR(__xludf.DUMMYFUNCTION("""COMPUTED_VALUE"""),"GSSO:005831")</f>
        <v>GSSO:005831</v>
      </c>
      <c r="D622"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22" s="29"/>
      <c r="F622" s="29"/>
      <c r="G622" s="29"/>
      <c r="H622" s="54" t="s">
        <v>19</v>
      </c>
      <c r="I622" s="54" t="s">
        <v>19</v>
      </c>
      <c r="J622" s="54" t="s">
        <v>19</v>
      </c>
      <c r="K622" s="52" t="str">
        <f t="shared" si="46"/>
        <v>Mpox</v>
      </c>
      <c r="M622" s="55"/>
    </row>
    <row r="623">
      <c r="A623" s="29"/>
      <c r="B623" s="50" t="str">
        <f>IFERROR(__xludf.DUMMYFUNCTION("""COMPUTED_VALUE"""),"     Veterinarian               ")</f>
        <v>     Veterinarian               </v>
      </c>
      <c r="C623" s="29" t="str">
        <f>IFERROR(__xludf.DUMMYFUNCTION("""COMPUTED_VALUE"""),"GENEPIO:0100265")</f>
        <v>GENEPIO:0100265</v>
      </c>
      <c r="D623"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23" s="29"/>
      <c r="F623" s="29"/>
      <c r="G623" s="29"/>
      <c r="H623" s="54" t="s">
        <v>19</v>
      </c>
      <c r="I623" s="54" t="s">
        <v>19</v>
      </c>
      <c r="J623" s="54" t="s">
        <v>19</v>
      </c>
      <c r="K623" s="52" t="str">
        <f t="shared" si="46"/>
        <v>Mpox</v>
      </c>
      <c r="M623" s="55"/>
    </row>
    <row r="624">
      <c r="A624" s="29"/>
      <c r="B624" s="50" t="str">
        <f>IFERROR(__xludf.DUMMYFUNCTION("""COMPUTED_VALUE"""),"Social role                    ")</f>
        <v>Social role                    </v>
      </c>
      <c r="C624" s="29" t="str">
        <f>IFERROR(__xludf.DUMMYFUNCTION("""COMPUTED_VALUE"""),"OMRSE:00000001")</f>
        <v>OMRSE:00000001</v>
      </c>
      <c r="D624" s="29" t="str">
        <f>IFERROR(__xludf.DUMMYFUNCTION("""COMPUTED_VALUE"""),"A social role inhering in a human being.")</f>
        <v>A social role inhering in a human being.</v>
      </c>
      <c r="E624" s="29"/>
      <c r="F624" s="29"/>
      <c r="G624" s="29"/>
      <c r="H624" s="54" t="s">
        <v>19</v>
      </c>
      <c r="I624" s="54" t="s">
        <v>19</v>
      </c>
      <c r="J624" s="54" t="s">
        <v>19</v>
      </c>
      <c r="K624" s="52" t="str">
        <f t="shared" si="46"/>
        <v>Mpox</v>
      </c>
      <c r="M624" s="55"/>
    </row>
    <row r="625">
      <c r="A625" s="29"/>
      <c r="B625" s="50" t="str">
        <f>IFERROR(__xludf.DUMMYFUNCTION("""COMPUTED_VALUE"""),"     Acquaintance of case               ")</f>
        <v>     Acquaintance of case               </v>
      </c>
      <c r="C625" s="29" t="str">
        <f>IFERROR(__xludf.DUMMYFUNCTION("""COMPUTED_VALUE"""),"GENEPIO:0100266")</f>
        <v>GENEPIO:0100266</v>
      </c>
      <c r="D625"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25" s="29"/>
      <c r="F625" s="29"/>
      <c r="G625" s="29"/>
      <c r="H625" s="54" t="s">
        <v>19</v>
      </c>
      <c r="I625" s="54" t="s">
        <v>19</v>
      </c>
      <c r="J625" s="54" t="s">
        <v>19</v>
      </c>
      <c r="K625" s="52" t="str">
        <f t="shared" si="46"/>
        <v>Mpox</v>
      </c>
    </row>
    <row r="626">
      <c r="A626" s="29"/>
      <c r="B626" s="50" t="str">
        <f>IFERROR(__xludf.DUMMYFUNCTION("""COMPUTED_VALUE"""),"     Relative of case               ")</f>
        <v>     Relative of case               </v>
      </c>
      <c r="C626" s="29" t="str">
        <f>IFERROR(__xludf.DUMMYFUNCTION("""COMPUTED_VALUE"""),"GENEPIO:0100267")</f>
        <v>GENEPIO:0100267</v>
      </c>
      <c r="D626" s="29" t="str">
        <f>IFERROR(__xludf.DUMMYFUNCTION("""COMPUTED_VALUE"""),"A role inhering in a person that is realized when the bearer is a relative of the case.")</f>
        <v>A role inhering in a person that is realized when the bearer is a relative of the case.</v>
      </c>
      <c r="E626" s="29"/>
      <c r="F626" s="29"/>
      <c r="G626" s="29"/>
      <c r="H626" s="54" t="s">
        <v>19</v>
      </c>
      <c r="I626" s="54" t="s">
        <v>19</v>
      </c>
      <c r="J626" s="54" t="s">
        <v>19</v>
      </c>
      <c r="K626" s="52" t="str">
        <f t="shared" si="46"/>
        <v>Mpox</v>
      </c>
      <c r="M626" s="56"/>
    </row>
    <row r="627">
      <c r="A627" s="29"/>
      <c r="B627" s="50" t="str">
        <f>IFERROR(__xludf.DUMMYFUNCTION("""COMPUTED_VALUE"""),"          Child of case          ")</f>
        <v>          Child of case          </v>
      </c>
      <c r="C627" s="29" t="str">
        <f>IFERROR(__xludf.DUMMYFUNCTION("""COMPUTED_VALUE"""),"GENEPIO:0100268")</f>
        <v>GENEPIO:0100268</v>
      </c>
      <c r="D627" s="29" t="str">
        <f>IFERROR(__xludf.DUMMYFUNCTION("""COMPUTED_VALUE"""),"A role inhering in a person that is realized when the bearer is a person younger than the age of majority.")</f>
        <v>A role inhering in a person that is realized when the bearer is a person younger than the age of majority.</v>
      </c>
      <c r="E627" s="29"/>
      <c r="F627" s="29"/>
      <c r="G627" s="29"/>
      <c r="H627" s="54" t="s">
        <v>19</v>
      </c>
      <c r="I627" s="54" t="s">
        <v>19</v>
      </c>
      <c r="J627" s="54" t="s">
        <v>19</v>
      </c>
      <c r="K627" s="52" t="str">
        <f t="shared" si="46"/>
        <v>Mpox</v>
      </c>
      <c r="M627" s="55"/>
    </row>
    <row r="628">
      <c r="A628" s="29"/>
      <c r="B628" s="50" t="str">
        <f>IFERROR(__xludf.DUMMYFUNCTION("""COMPUTED_VALUE"""),"          Parent of case          ")</f>
        <v>          Parent of case          </v>
      </c>
      <c r="C628" s="29" t="str">
        <f>IFERROR(__xludf.DUMMYFUNCTION("""COMPUTED_VALUE"""),"GENEPIO:0100269")</f>
        <v>GENEPIO:0100269</v>
      </c>
      <c r="D628"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28" s="29"/>
      <c r="F628" s="29"/>
      <c r="G628" s="29"/>
      <c r="H628" s="54" t="s">
        <v>19</v>
      </c>
      <c r="I628" s="54" t="s">
        <v>19</v>
      </c>
      <c r="J628" s="54" t="s">
        <v>19</v>
      </c>
      <c r="K628" s="52" t="str">
        <f t="shared" si="46"/>
        <v>Mpox</v>
      </c>
      <c r="M628" s="55"/>
    </row>
    <row r="629">
      <c r="A629" s="29"/>
      <c r="B629" s="50" t="str">
        <f>IFERROR(__xludf.DUMMYFUNCTION("""COMPUTED_VALUE"""),"               Father of case     ")</f>
        <v>               Father of case     </v>
      </c>
      <c r="C629" s="29" t="str">
        <f>IFERROR(__xludf.DUMMYFUNCTION("""COMPUTED_VALUE"""),"GENEPIO:0100270")</f>
        <v>GENEPIO:0100270</v>
      </c>
      <c r="D629" s="29" t="str">
        <f>IFERROR(__xludf.DUMMYFUNCTION("""COMPUTED_VALUE"""),"A role inhering in a person that is realized when the bearer is the male parent of a child.")</f>
        <v>A role inhering in a person that is realized when the bearer is the male parent of a child.</v>
      </c>
      <c r="E629" s="29"/>
      <c r="F629" s="29"/>
      <c r="G629" s="29"/>
      <c r="H629" s="54" t="s">
        <v>19</v>
      </c>
      <c r="I629" s="54" t="s">
        <v>19</v>
      </c>
      <c r="J629" s="54" t="s">
        <v>19</v>
      </c>
      <c r="K629" s="52" t="str">
        <f t="shared" si="46"/>
        <v>Mpox</v>
      </c>
      <c r="M629" s="55"/>
    </row>
    <row r="630">
      <c r="A630" s="29"/>
      <c r="B630" s="50" t="str">
        <f>IFERROR(__xludf.DUMMYFUNCTION("""COMPUTED_VALUE"""),"               Mother of case     ")</f>
        <v>               Mother of case     </v>
      </c>
      <c r="C630" s="29" t="str">
        <f>IFERROR(__xludf.DUMMYFUNCTION("""COMPUTED_VALUE"""),"GENEPIO:0100271")</f>
        <v>GENEPIO:0100271</v>
      </c>
      <c r="D630" s="29" t="str">
        <f>IFERROR(__xludf.DUMMYFUNCTION("""COMPUTED_VALUE"""),"A role inhering in a person that is realized when the bearer is the female parent of a child.")</f>
        <v>A role inhering in a person that is realized when the bearer is the female parent of a child.</v>
      </c>
      <c r="E630" s="29"/>
      <c r="F630" s="29"/>
      <c r="G630" s="29"/>
      <c r="H630" s="54" t="s">
        <v>19</v>
      </c>
      <c r="I630" s="54" t="s">
        <v>19</v>
      </c>
      <c r="J630" s="54" t="s">
        <v>19</v>
      </c>
      <c r="K630" s="52" t="str">
        <f t="shared" si="46"/>
        <v>Mpox</v>
      </c>
      <c r="M630" s="55"/>
    </row>
    <row r="631">
      <c r="A631" s="29"/>
      <c r="B631" s="50" t="str">
        <f>IFERROR(__xludf.DUMMYFUNCTION("""COMPUTED_VALUE"""),"     Sexual partner of case               ")</f>
        <v>     Sexual partner of case               </v>
      </c>
      <c r="C631" s="29" t="str">
        <f>IFERROR(__xludf.DUMMYFUNCTION("""COMPUTED_VALUE"""),"GENEPIO:0100500")</f>
        <v>GENEPIO:0100500</v>
      </c>
      <c r="D631" s="29" t="str">
        <f>IFERROR(__xludf.DUMMYFUNCTION("""COMPUTED_VALUE"""),"A role inhering in a person that is realized when the bearer is a sexual partner of the case.")</f>
        <v>A role inhering in a person that is realized when the bearer is a sexual partner of the case.</v>
      </c>
      <c r="E631" s="29"/>
      <c r="F631" s="29"/>
      <c r="G631" s="29"/>
      <c r="H631" s="54" t="s">
        <v>19</v>
      </c>
      <c r="I631" s="54" t="s">
        <v>19</v>
      </c>
      <c r="J631" s="54" t="s">
        <v>19</v>
      </c>
      <c r="K631" s="52" t="str">
        <f t="shared" si="46"/>
        <v>Mpox</v>
      </c>
      <c r="M631" s="55"/>
    </row>
    <row r="632">
      <c r="A632" s="29"/>
      <c r="B632" s="50" t="str">
        <f>IFERROR(__xludf.DUMMYFUNCTION("""COMPUTED_VALUE"""),"     Spouse of case               ")</f>
        <v>     Spouse of case               </v>
      </c>
      <c r="C632" s="29" t="str">
        <f>IFERROR(__xludf.DUMMYFUNCTION("""COMPUTED_VALUE"""),"GENEPIO:0100272")</f>
        <v>GENEPIO:0100272</v>
      </c>
      <c r="D632"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32" s="29"/>
      <c r="F632" s="29"/>
      <c r="G632" s="29"/>
      <c r="H632" s="54"/>
      <c r="I632" s="54"/>
      <c r="J632" s="54"/>
      <c r="K632" s="53" t="s">
        <v>31</v>
      </c>
      <c r="L632" s="29" t="str">
        <f>LEFT(A632, LEN(A632) - 5)
</f>
        <v>#VALUE!</v>
      </c>
      <c r="M632" s="58" t="s">
        <v>32</v>
      </c>
    </row>
    <row r="633">
      <c r="A633" s="29"/>
      <c r="B633" s="50" t="str">
        <f>IFERROR(__xludf.DUMMYFUNCTION("""COMPUTED_VALUE"""),"Other Host Role                    ")</f>
        <v>Other Host Role                    </v>
      </c>
      <c r="C633" s="29"/>
      <c r="D633" s="29" t="str">
        <f>IFERROR(__xludf.DUMMYFUNCTION("""COMPUTED_VALUE"""),"A role undertaken by a host that is not categorized under specific predefined host roles.")</f>
        <v>A role undertaken by a host that is not categorized under specific predefined host roles.</v>
      </c>
      <c r="E633" s="29"/>
      <c r="F633" s="29"/>
      <c r="G633" s="29"/>
      <c r="H633" s="54" t="s">
        <v>19</v>
      </c>
      <c r="I633" s="54" t="s">
        <v>19</v>
      </c>
      <c r="J633" s="54" t="s">
        <v>19</v>
      </c>
      <c r="K633" s="52" t="str">
        <f t="shared" ref="K633:K667" si="47">K632</f>
        <v>International</v>
      </c>
      <c r="M633" s="55"/>
    </row>
    <row r="634">
      <c r="A634" s="29" t="str">
        <f>IFERROR(__xludf.DUMMYFUNCTION("""COMPUTED_VALUE"""),"host role international menu")</f>
        <v>host role international menu</v>
      </c>
      <c r="B634" s="50" t="str">
        <f>IFERROR(__xludf.DUMMYFUNCTION("""COMPUTED_VALUE"""),"                    ")</f>
        <v>                    </v>
      </c>
      <c r="C634" s="29"/>
      <c r="D634" s="29" t="str">
        <f>IFERROR(__xludf.DUMMYFUNCTION("""COMPUTED_VALUE"""),"")</f>
        <v/>
      </c>
      <c r="E634" s="29"/>
      <c r="F634" s="29"/>
      <c r="G634" s="29"/>
      <c r="H634" s="54" t="s">
        <v>19</v>
      </c>
      <c r="I634" s="54" t="s">
        <v>19</v>
      </c>
      <c r="J634" s="54" t="s">
        <v>19</v>
      </c>
      <c r="K634" s="52" t="str">
        <f t="shared" si="47"/>
        <v>International</v>
      </c>
      <c r="M634" s="55"/>
    </row>
    <row r="635">
      <c r="A635" s="29"/>
      <c r="B635" s="50" t="str">
        <f>IFERROR(__xludf.DUMMYFUNCTION("""COMPUTED_VALUE"""),"Attendee [GENEPIO:0100249]                    ")</f>
        <v>Attendee [GENEPIO:0100249]                    </v>
      </c>
      <c r="C635" s="29" t="str">
        <f>IFERROR(__xludf.DUMMYFUNCTION("""COMPUTED_VALUE"""),"GENEPIO:0100249")</f>
        <v>GENEPIO:0100249</v>
      </c>
      <c r="D635"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35" s="29"/>
      <c r="F635" s="29"/>
      <c r="G635" s="29"/>
      <c r="H635" s="54" t="s">
        <v>19</v>
      </c>
      <c r="I635" s="54" t="s">
        <v>19</v>
      </c>
      <c r="J635" s="54" t="s">
        <v>19</v>
      </c>
      <c r="K635" s="52" t="str">
        <f t="shared" si="47"/>
        <v>International</v>
      </c>
      <c r="M635" s="55"/>
    </row>
    <row r="636">
      <c r="A636" s="29"/>
      <c r="B636" s="50" t="str">
        <f>IFERROR(__xludf.DUMMYFUNCTION("""COMPUTED_VALUE"""),"     Student [OMRSE:00000058]               ")</f>
        <v>     Student [OMRSE:00000058]               </v>
      </c>
      <c r="C636" s="29" t="str">
        <f>IFERROR(__xludf.DUMMYFUNCTION("""COMPUTED_VALUE"""),"OMRSE:00000058")</f>
        <v>OMRSE:00000058</v>
      </c>
      <c r="D636"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36" s="29"/>
      <c r="F636" s="29"/>
      <c r="G636" s="29"/>
      <c r="H636" s="54" t="s">
        <v>19</v>
      </c>
      <c r="I636" s="54" t="s">
        <v>19</v>
      </c>
      <c r="J636" s="54" t="s">
        <v>19</v>
      </c>
      <c r="K636" s="52" t="str">
        <f t="shared" si="47"/>
        <v>International</v>
      </c>
      <c r="M636" s="55"/>
    </row>
    <row r="637">
      <c r="A637" s="29"/>
      <c r="B637" s="50" t="str">
        <f>IFERROR(__xludf.DUMMYFUNCTION("""COMPUTED_VALUE"""),"Patient [OMRSE:00000030]                    ")</f>
        <v>Patient [OMRSE:00000030]                    </v>
      </c>
      <c r="C637" s="29" t="str">
        <f>IFERROR(__xludf.DUMMYFUNCTION("""COMPUTED_VALUE"""),"OMRSE:00000030")</f>
        <v>OMRSE:00000030</v>
      </c>
      <c r="D637" s="29" t="str">
        <f>IFERROR(__xludf.DUMMYFUNCTION("""COMPUTED_VALUE"""),"A patient role that inheres in a human being.")</f>
        <v>A patient role that inheres in a human being.</v>
      </c>
      <c r="E637" s="29"/>
      <c r="F637" s="29"/>
      <c r="G637" s="29"/>
      <c r="H637" s="54" t="s">
        <v>19</v>
      </c>
      <c r="I637" s="54" t="s">
        <v>19</v>
      </c>
      <c r="J637" s="54" t="s">
        <v>19</v>
      </c>
      <c r="K637" s="52" t="str">
        <f t="shared" si="47"/>
        <v>International</v>
      </c>
      <c r="M637" s="55"/>
    </row>
    <row r="638">
      <c r="A638" s="29"/>
      <c r="B638" s="50" t="str">
        <f>IFERROR(__xludf.DUMMYFUNCTION("""COMPUTED_VALUE"""),"     Inpatient [NCIT:C25182]               ")</f>
        <v>     Inpatient [NCIT:C25182]               </v>
      </c>
      <c r="C638" s="29" t="str">
        <f>IFERROR(__xludf.DUMMYFUNCTION("""COMPUTED_VALUE"""),"NCIT:C25182")</f>
        <v>NCIT:C25182</v>
      </c>
      <c r="D638" s="29" t="str">
        <f>IFERROR(__xludf.DUMMYFUNCTION("""COMPUTED_VALUE"""),"A patient who is residing in the hospital where he is being treated.")</f>
        <v>A patient who is residing in the hospital where he is being treated.</v>
      </c>
      <c r="E638" s="29"/>
      <c r="F638" s="29"/>
      <c r="G638" s="29"/>
      <c r="H638" s="54" t="s">
        <v>19</v>
      </c>
      <c r="I638" s="54" t="s">
        <v>19</v>
      </c>
      <c r="J638" s="54" t="s">
        <v>19</v>
      </c>
      <c r="K638" s="52" t="str">
        <f t="shared" si="47"/>
        <v>International</v>
      </c>
      <c r="M638" s="55"/>
    </row>
    <row r="639">
      <c r="A639" s="29"/>
      <c r="B639" s="50" t="str">
        <f>IFERROR(__xludf.DUMMYFUNCTION("""COMPUTED_VALUE"""),"     Outpatient [NCIT:C28293]               ")</f>
        <v>     Outpatient [NCIT:C28293]               </v>
      </c>
      <c r="C639" s="29" t="str">
        <f>IFERROR(__xludf.DUMMYFUNCTION("""COMPUTED_VALUE"""),"NCIT:C28293")</f>
        <v>NCIT:C28293</v>
      </c>
      <c r="D639"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39" s="29"/>
      <c r="F639" s="29"/>
      <c r="G639" s="29"/>
      <c r="H639" s="54" t="s">
        <v>19</v>
      </c>
      <c r="I639" s="54" t="s">
        <v>19</v>
      </c>
      <c r="J639" s="54" t="s">
        <v>19</v>
      </c>
      <c r="K639" s="52" t="str">
        <f t="shared" si="47"/>
        <v>International</v>
      </c>
      <c r="M639" s="55"/>
    </row>
    <row r="640">
      <c r="A640" s="29"/>
      <c r="B640" s="50" t="str">
        <f>IFERROR(__xludf.DUMMYFUNCTION("""COMPUTED_VALUE"""),"Passenger [GENEPIO:0100250]                    ")</f>
        <v>Passenger [GENEPIO:0100250]                    </v>
      </c>
      <c r="C640" s="29" t="str">
        <f>IFERROR(__xludf.DUMMYFUNCTION("""COMPUTED_VALUE"""),"GENEPIO:0100250")</f>
        <v>GENEPIO:0100250</v>
      </c>
      <c r="D640"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40" s="29"/>
      <c r="F640" s="29"/>
      <c r="G640" s="29"/>
      <c r="H640" s="54" t="s">
        <v>19</v>
      </c>
      <c r="I640" s="54" t="s">
        <v>19</v>
      </c>
      <c r="J640" s="54" t="s">
        <v>19</v>
      </c>
      <c r="K640" s="52" t="str">
        <f t="shared" si="47"/>
        <v>International</v>
      </c>
      <c r="M640" s="55"/>
    </row>
    <row r="641">
      <c r="A641" s="29"/>
      <c r="B641" s="50" t="str">
        <f>IFERROR(__xludf.DUMMYFUNCTION("""COMPUTED_VALUE"""),"Resident [GENEPIO:0100251]                    ")</f>
        <v>Resident [GENEPIO:0100251]                    </v>
      </c>
      <c r="C641" s="29" t="str">
        <f>IFERROR(__xludf.DUMMYFUNCTION("""COMPUTED_VALUE"""),"GENEPIO:0100251")</f>
        <v>GENEPIO:0100251</v>
      </c>
      <c r="D641" s="29" t="str">
        <f>IFERROR(__xludf.DUMMYFUNCTION("""COMPUTED_VALUE"""),"A role inhering in a person that is realized when the bearer maintains residency in a given place.")</f>
        <v>A role inhering in a person that is realized when the bearer maintains residency in a given place.</v>
      </c>
      <c r="E641" s="29"/>
      <c r="F641" s="29"/>
      <c r="G641" s="29"/>
      <c r="H641" s="54" t="s">
        <v>19</v>
      </c>
      <c r="I641" s="54" t="s">
        <v>19</v>
      </c>
      <c r="J641" s="54" t="s">
        <v>19</v>
      </c>
      <c r="K641" s="52" t="str">
        <f t="shared" si="47"/>
        <v>International</v>
      </c>
      <c r="M641" s="55"/>
    </row>
    <row r="642">
      <c r="A642" s="29"/>
      <c r="B642" s="50" t="str">
        <f>IFERROR(__xludf.DUMMYFUNCTION("""COMPUTED_VALUE"""),"Visitor [GENEPIO:0100252]                    ")</f>
        <v>Visitor [GENEPIO:0100252]                    </v>
      </c>
      <c r="C642" s="29" t="str">
        <f>IFERROR(__xludf.DUMMYFUNCTION("""COMPUTED_VALUE"""),"GENEPIO:0100252")</f>
        <v>GENEPIO:0100252</v>
      </c>
      <c r="D642" s="29" t="str">
        <f>IFERROR(__xludf.DUMMYFUNCTION("""COMPUTED_VALUE"""),"A role inhering in a person that is realized when the bearer pays a visit to a specific place or event.")</f>
        <v>A role inhering in a person that is realized when the bearer pays a visit to a specific place or event.</v>
      </c>
      <c r="E642" s="29"/>
      <c r="F642" s="29"/>
      <c r="G642" s="29"/>
      <c r="H642" s="54" t="s">
        <v>19</v>
      </c>
      <c r="I642" s="54" t="s">
        <v>19</v>
      </c>
      <c r="J642" s="54" t="s">
        <v>19</v>
      </c>
      <c r="K642" s="52" t="str">
        <f t="shared" si="47"/>
        <v>International</v>
      </c>
      <c r="M642" s="55"/>
    </row>
    <row r="643">
      <c r="A643" s="29"/>
      <c r="B643" s="50" t="str">
        <f>IFERROR(__xludf.DUMMYFUNCTION("""COMPUTED_VALUE"""),"Volunteer [GENEPIO:0100253]                    ")</f>
        <v>Volunteer [GENEPIO:0100253]                    </v>
      </c>
      <c r="C643" s="29" t="str">
        <f>IFERROR(__xludf.DUMMYFUNCTION("""COMPUTED_VALUE"""),"GENEPIO:0100253")</f>
        <v>GENEPIO:0100253</v>
      </c>
      <c r="D643" s="29" t="str">
        <f>IFERROR(__xludf.DUMMYFUNCTION("""COMPUTED_VALUE"""),"A role inhering in a person that is realized when the bearer enters into any service of their own free will.")</f>
        <v>A role inhering in a person that is realized when the bearer enters into any service of their own free will.</v>
      </c>
      <c r="E643" s="29"/>
      <c r="F643" s="29"/>
      <c r="G643" s="29"/>
      <c r="H643" s="54" t="s">
        <v>19</v>
      </c>
      <c r="I643" s="54" t="s">
        <v>19</v>
      </c>
      <c r="J643" s="54" t="s">
        <v>19</v>
      </c>
      <c r="K643" s="52" t="str">
        <f t="shared" si="47"/>
        <v>International</v>
      </c>
      <c r="M643" s="55"/>
    </row>
    <row r="644">
      <c r="A644" s="29"/>
      <c r="B644" s="50" t="str">
        <f>IFERROR(__xludf.DUMMYFUNCTION("""COMPUTED_VALUE"""),"Work [GENEPIO:0100254]                    ")</f>
        <v>Work [GENEPIO:0100254]                    </v>
      </c>
      <c r="C644" s="29" t="str">
        <f>IFERROR(__xludf.DUMMYFUNCTION("""COMPUTED_VALUE"""),"GENEPIO:0100254")</f>
        <v>GENEPIO:0100254</v>
      </c>
      <c r="D644" s="29" t="str">
        <f>IFERROR(__xludf.DUMMYFUNCTION("""COMPUTED_VALUE"""),"A role inhering in a person that is realized when the bearer performs labor for a living.")</f>
        <v>A role inhering in a person that is realized when the bearer performs labor for a living.</v>
      </c>
      <c r="E644" s="29"/>
      <c r="F644" s="29"/>
      <c r="G644" s="29"/>
      <c r="H644" s="54" t="s">
        <v>19</v>
      </c>
      <c r="I644" s="54" t="s">
        <v>19</v>
      </c>
      <c r="J644" s="54" t="s">
        <v>19</v>
      </c>
      <c r="K644" s="52" t="str">
        <f t="shared" si="47"/>
        <v>International</v>
      </c>
      <c r="M644" s="55"/>
    </row>
    <row r="645">
      <c r="A645" s="29"/>
      <c r="B645" s="50" t="str">
        <f>IFERROR(__xludf.DUMMYFUNCTION("""COMPUTED_VALUE"""),"     Administrator [GENEPIO:0100255]               ")</f>
        <v>     Administrator [GENEPIO:0100255]               </v>
      </c>
      <c r="C645" s="29" t="str">
        <f>IFERROR(__xludf.DUMMYFUNCTION("""COMPUTED_VALUE"""),"GENEPIO:0100255")</f>
        <v>GENEPIO:0100255</v>
      </c>
      <c r="D645"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45" s="29"/>
      <c r="F645" s="29"/>
      <c r="G645" s="29"/>
      <c r="H645" s="54" t="s">
        <v>19</v>
      </c>
      <c r="I645" s="54" t="s">
        <v>19</v>
      </c>
      <c r="J645" s="54" t="s">
        <v>19</v>
      </c>
      <c r="K645" s="52" t="str">
        <f t="shared" si="47"/>
        <v>International</v>
      </c>
      <c r="M645" s="55"/>
    </row>
    <row r="646">
      <c r="A646" s="29"/>
      <c r="B646" s="50" t="str">
        <f>IFERROR(__xludf.DUMMYFUNCTION("""COMPUTED_VALUE"""),"     First Responder [GENEPIO:0100256]               ")</f>
        <v>     First Responder [GENEPIO:0100256]               </v>
      </c>
      <c r="C646" s="29" t="str">
        <f>IFERROR(__xludf.DUMMYFUNCTION("""COMPUTED_VALUE"""),"GENEPIO:0100256")</f>
        <v>GENEPIO:0100256</v>
      </c>
      <c r="D646"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46" s="29"/>
      <c r="F646" s="29"/>
      <c r="G646" s="29"/>
      <c r="H646" s="54" t="s">
        <v>19</v>
      </c>
      <c r="I646" s="54" t="s">
        <v>19</v>
      </c>
      <c r="J646" s="54" t="s">
        <v>19</v>
      </c>
      <c r="K646" s="52" t="str">
        <f t="shared" si="47"/>
        <v>International</v>
      </c>
      <c r="M646" s="55"/>
    </row>
    <row r="647">
      <c r="A647" s="29"/>
      <c r="B647" s="50" t="str">
        <f>IFERROR(__xludf.DUMMYFUNCTION("""COMPUTED_VALUE"""),"     Housekeeper [GENEPIO:0100260]               ")</f>
        <v>     Housekeeper [GENEPIO:0100260]               </v>
      </c>
      <c r="C647" s="29" t="str">
        <f>IFERROR(__xludf.DUMMYFUNCTION("""COMPUTED_VALUE"""),"GENEPIO:0100260")</f>
        <v>GENEPIO:0100260</v>
      </c>
      <c r="D647"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47" s="29"/>
      <c r="F647" s="29"/>
      <c r="G647" s="29"/>
      <c r="H647" s="54" t="s">
        <v>19</v>
      </c>
      <c r="I647" s="54" t="s">
        <v>19</v>
      </c>
      <c r="J647" s="54" t="s">
        <v>19</v>
      </c>
      <c r="K647" s="52" t="str">
        <f t="shared" si="47"/>
        <v>International</v>
      </c>
      <c r="M647" s="55"/>
    </row>
    <row r="648">
      <c r="A648" s="29"/>
      <c r="B648" s="50" t="str">
        <f>IFERROR(__xludf.DUMMYFUNCTION("""COMPUTED_VALUE"""),"     Kitchen Worker [GENEPIO:0100261]               ")</f>
        <v>     Kitchen Worker [GENEPIO:0100261]               </v>
      </c>
      <c r="C648" s="29" t="str">
        <f>IFERROR(__xludf.DUMMYFUNCTION("""COMPUTED_VALUE"""),"GENEPIO:0100261")</f>
        <v>GENEPIO:0100261</v>
      </c>
      <c r="D648"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48" s="29"/>
      <c r="F648" s="29"/>
      <c r="G648" s="29"/>
      <c r="H648" s="54" t="s">
        <v>19</v>
      </c>
      <c r="I648" s="54" t="s">
        <v>19</v>
      </c>
      <c r="J648" s="54" t="s">
        <v>19</v>
      </c>
      <c r="K648" s="52" t="str">
        <f t="shared" si="47"/>
        <v>International</v>
      </c>
      <c r="M648" s="55"/>
    </row>
    <row r="649">
      <c r="A649" s="29"/>
      <c r="B649" s="50" t="str">
        <f>IFERROR(__xludf.DUMMYFUNCTION("""COMPUTED_VALUE"""),"     Healthcare Worker [GENEPIO:0100334]               ")</f>
        <v>     Healthcare Worker [GENEPIO:0100334]               </v>
      </c>
      <c r="C649" s="29" t="str">
        <f>IFERROR(__xludf.DUMMYFUNCTION("""COMPUTED_VALUE"""),"GENEPIO:0100334")</f>
        <v>GENEPIO:0100334</v>
      </c>
      <c r="D649"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49" s="29"/>
      <c r="F649" s="29"/>
      <c r="G649" s="29"/>
      <c r="H649" s="54" t="s">
        <v>19</v>
      </c>
      <c r="I649" s="54" t="s">
        <v>19</v>
      </c>
      <c r="J649" s="54" t="s">
        <v>19</v>
      </c>
      <c r="K649" s="52" t="str">
        <f t="shared" si="47"/>
        <v>International</v>
      </c>
      <c r="M649" s="55"/>
    </row>
    <row r="650">
      <c r="A650" s="29"/>
      <c r="B650" s="50" t="str">
        <f>IFERROR(__xludf.DUMMYFUNCTION("""COMPUTED_VALUE"""),"          Community Healthcare Worker [GENEPIO:0100420]          ")</f>
        <v>          Community Healthcare Worker [GENEPIO:0100420]          </v>
      </c>
      <c r="C650" s="29" t="str">
        <f>IFERROR(__xludf.DUMMYFUNCTION("""COMPUTED_VALUE"""),"GENEPIO:0100420")</f>
        <v>GENEPIO:0100420</v>
      </c>
      <c r="D650"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50" s="29"/>
      <c r="F650" s="29"/>
      <c r="G650" s="29"/>
      <c r="H650" s="54" t="s">
        <v>19</v>
      </c>
      <c r="I650" s="54" t="s">
        <v>19</v>
      </c>
      <c r="J650" s="54" t="s">
        <v>19</v>
      </c>
      <c r="K650" s="52" t="str">
        <f t="shared" si="47"/>
        <v>International</v>
      </c>
      <c r="M650" s="55"/>
    </row>
    <row r="651">
      <c r="A651" s="53"/>
      <c r="B651" s="50" t="str">
        <f>IFERROR(__xludf.DUMMYFUNCTION("""COMPUTED_VALUE"""),"          Laboratory Worker [GENEPIO:0100262]          ")</f>
        <v>          Laboratory Worker [GENEPIO:0100262]          </v>
      </c>
      <c r="C651" s="53" t="str">
        <f>IFERROR(__xludf.DUMMYFUNCTION("""COMPUTED_VALUE"""),"GENEPIO:0100262")</f>
        <v>GENEPIO:0100262</v>
      </c>
      <c r="D651"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651" s="54" t="s">
        <v>19</v>
      </c>
      <c r="I651" s="54" t="s">
        <v>19</v>
      </c>
      <c r="J651" s="54" t="s">
        <v>19</v>
      </c>
      <c r="K651" s="52" t="str">
        <f t="shared" si="47"/>
        <v>International</v>
      </c>
      <c r="M651" s="55"/>
    </row>
    <row r="652">
      <c r="A652" s="53"/>
      <c r="B652" s="50" t="str">
        <f>IFERROR(__xludf.DUMMYFUNCTION("""COMPUTED_VALUE"""),"          Nurse [OMRSE:00000014]          ")</f>
        <v>          Nurse [OMRSE:00000014]          </v>
      </c>
      <c r="C652" s="53" t="str">
        <f>IFERROR(__xludf.DUMMYFUNCTION("""COMPUTED_VALUE"""),"OMRSE:00000014")</f>
        <v>OMRSE:00000014</v>
      </c>
      <c r="D652"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H652" s="52" t="s">
        <v>19</v>
      </c>
      <c r="I652" s="52" t="s">
        <v>19</v>
      </c>
      <c r="J652" s="52" t="s">
        <v>19</v>
      </c>
      <c r="K652" s="52" t="str">
        <f t="shared" si="47"/>
        <v>International</v>
      </c>
      <c r="M652" s="55"/>
    </row>
    <row r="653">
      <c r="A653" s="53"/>
      <c r="B653" s="50" t="str">
        <f>IFERROR(__xludf.DUMMYFUNCTION("""COMPUTED_VALUE"""),"          Personal Care Aid [GENEPIO:0100263]          ")</f>
        <v>          Personal Care Aid [GENEPIO:0100263]          </v>
      </c>
      <c r="C653" s="53" t="str">
        <f>IFERROR(__xludf.DUMMYFUNCTION("""COMPUTED_VALUE"""),"GENEPIO:0100263")</f>
        <v>GENEPIO:0100263</v>
      </c>
      <c r="D653"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653" s="52" t="s">
        <v>19</v>
      </c>
      <c r="I653" s="52" t="s">
        <v>19</v>
      </c>
      <c r="J653" s="52" t="s">
        <v>19</v>
      </c>
      <c r="K653" s="52" t="str">
        <f t="shared" si="47"/>
        <v>International</v>
      </c>
      <c r="M653" s="55"/>
    </row>
    <row r="654">
      <c r="A654" s="53"/>
      <c r="B654" s="50" t="str">
        <f>IFERROR(__xludf.DUMMYFUNCTION("""COMPUTED_VALUE"""),"          Pharmacist [GENEPIO:0100264]          ")</f>
        <v>          Pharmacist [GENEPIO:0100264]          </v>
      </c>
      <c r="C654" s="53" t="str">
        <f>IFERROR(__xludf.DUMMYFUNCTION("""COMPUTED_VALUE"""),"GENEPIO:0100264")</f>
        <v>GENEPIO:0100264</v>
      </c>
      <c r="D654"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654" s="52" t="s">
        <v>19</v>
      </c>
      <c r="I654" s="52" t="s">
        <v>19</v>
      </c>
      <c r="J654" s="52" t="s">
        <v>19</v>
      </c>
      <c r="K654" s="52" t="str">
        <f t="shared" si="47"/>
        <v>International</v>
      </c>
      <c r="M654" s="55"/>
    </row>
    <row r="655">
      <c r="A655" s="53"/>
      <c r="B655" s="50" t="str">
        <f>IFERROR(__xludf.DUMMYFUNCTION("""COMPUTED_VALUE"""),"          Physician [OMRSE:00000013]          ")</f>
        <v>          Physician [OMRSE:00000013]          </v>
      </c>
      <c r="C655" s="53" t="str">
        <f>IFERROR(__xludf.DUMMYFUNCTION("""COMPUTED_VALUE"""),"OMRSE:00000013")</f>
        <v>OMRSE:00000013</v>
      </c>
      <c r="D655"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H655" s="52" t="s">
        <v>19</v>
      </c>
      <c r="I655" s="52" t="s">
        <v>19</v>
      </c>
      <c r="J655" s="52" t="s">
        <v>19</v>
      </c>
      <c r="K655" s="52" t="str">
        <f t="shared" si="47"/>
        <v>International</v>
      </c>
      <c r="M655" s="55"/>
    </row>
    <row r="656">
      <c r="A656" s="53"/>
      <c r="B656" s="50" t="str">
        <f>IFERROR(__xludf.DUMMYFUNCTION("""COMPUTED_VALUE"""),"     Rotational Worker [GENEPIO:0100354]               ")</f>
        <v>     Rotational Worker [GENEPIO:0100354]               </v>
      </c>
      <c r="C656" s="53" t="str">
        <f>IFERROR(__xludf.DUMMYFUNCTION("""COMPUTED_VALUE"""),"GENEPIO:0100354")</f>
        <v>GENEPIO:0100354</v>
      </c>
      <c r="D656"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56" s="52" t="s">
        <v>19</v>
      </c>
      <c r="I656" s="52" t="s">
        <v>19</v>
      </c>
      <c r="J656" s="52" t="s">
        <v>19</v>
      </c>
      <c r="K656" s="52" t="str">
        <f t="shared" si="47"/>
        <v>International</v>
      </c>
      <c r="M656" s="55"/>
    </row>
    <row r="657">
      <c r="A657" s="53"/>
      <c r="B657" s="50" t="str">
        <f>IFERROR(__xludf.DUMMYFUNCTION("""COMPUTED_VALUE"""),"     Seasonal Worker [GENEPIO:0100355]               ")</f>
        <v>     Seasonal Worker [GENEPIO:0100355]               </v>
      </c>
      <c r="C657" s="53" t="str">
        <f>IFERROR(__xludf.DUMMYFUNCTION("""COMPUTED_VALUE"""),"GENEPIO:0100355")</f>
        <v>GENEPIO:0100355</v>
      </c>
      <c r="D657"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57" s="52" t="s">
        <v>19</v>
      </c>
      <c r="I657" s="52" t="s">
        <v>19</v>
      </c>
      <c r="J657" s="52" t="s">
        <v>19</v>
      </c>
      <c r="K657" s="52" t="str">
        <f t="shared" si="47"/>
        <v>International</v>
      </c>
      <c r="M657" s="55"/>
    </row>
    <row r="658">
      <c r="A658" s="53"/>
      <c r="B658" s="50" t="str">
        <f>IFERROR(__xludf.DUMMYFUNCTION("""COMPUTED_VALUE"""),"     Sex Worker [GSSO:005831]               ")</f>
        <v>     Sex Worker [GSSO:005831]               </v>
      </c>
      <c r="C658" s="53" t="str">
        <f>IFERROR(__xludf.DUMMYFUNCTION("""COMPUTED_VALUE"""),"GSSO:005831")</f>
        <v>GSSO:005831</v>
      </c>
      <c r="D658"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58" s="52" t="s">
        <v>19</v>
      </c>
      <c r="I658" s="52" t="s">
        <v>19</v>
      </c>
      <c r="J658" s="52" t="s">
        <v>19</v>
      </c>
      <c r="K658" s="52" t="str">
        <f t="shared" si="47"/>
        <v>International</v>
      </c>
      <c r="M658" s="55"/>
    </row>
    <row r="659">
      <c r="A659" s="53"/>
      <c r="B659" s="50" t="str">
        <f>IFERROR(__xludf.DUMMYFUNCTION("""COMPUTED_VALUE"""),"     Veterinarian [GENEPIO:0100265]               ")</f>
        <v>     Veterinarian [GENEPIO:0100265]               </v>
      </c>
      <c r="C659" s="53" t="str">
        <f>IFERROR(__xludf.DUMMYFUNCTION("""COMPUTED_VALUE"""),"GENEPIO:0100265")</f>
        <v>GENEPIO:0100265</v>
      </c>
      <c r="D659"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59" s="52" t="s">
        <v>19</v>
      </c>
      <c r="I659" s="52" t="s">
        <v>19</v>
      </c>
      <c r="J659" s="52" t="s">
        <v>19</v>
      </c>
      <c r="K659" s="52" t="str">
        <f t="shared" si="47"/>
        <v>International</v>
      </c>
      <c r="M659" s="55"/>
    </row>
    <row r="660">
      <c r="A660" s="53"/>
      <c r="B660" s="50" t="str">
        <f>IFERROR(__xludf.DUMMYFUNCTION("""COMPUTED_VALUE"""),"Social role [OMRSE:00000001]                    ")</f>
        <v>Social role [OMRSE:00000001]                    </v>
      </c>
      <c r="C660" s="53" t="str">
        <f>IFERROR(__xludf.DUMMYFUNCTION("""COMPUTED_VALUE"""),"OMRSE:00000001")</f>
        <v>OMRSE:00000001</v>
      </c>
      <c r="D660" s="29" t="str">
        <f>IFERROR(__xludf.DUMMYFUNCTION("""COMPUTED_VALUE"""),"A social role inhering in a human being.")</f>
        <v>A social role inhering in a human being.</v>
      </c>
      <c r="H660" s="52" t="s">
        <v>19</v>
      </c>
      <c r="I660" s="52" t="s">
        <v>19</v>
      </c>
      <c r="J660" s="52" t="s">
        <v>19</v>
      </c>
      <c r="K660" s="52" t="str">
        <f t="shared" si="47"/>
        <v>International</v>
      </c>
      <c r="M660" s="55"/>
    </row>
    <row r="661">
      <c r="A661" s="53"/>
      <c r="B661" s="50" t="str">
        <f>IFERROR(__xludf.DUMMYFUNCTION("""COMPUTED_VALUE"""),"     Acquaintance of case [GENEPIO:0100266]               ")</f>
        <v>     Acquaintance of case [GENEPIO:0100266]               </v>
      </c>
      <c r="C661" s="53" t="str">
        <f>IFERROR(__xludf.DUMMYFUNCTION("""COMPUTED_VALUE"""),"GENEPIO:0100266")</f>
        <v>GENEPIO:0100266</v>
      </c>
      <c r="D661"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61" s="54" t="s">
        <v>19</v>
      </c>
      <c r="I661" s="54" t="s">
        <v>19</v>
      </c>
      <c r="J661" s="54" t="s">
        <v>19</v>
      </c>
      <c r="K661" s="52" t="str">
        <f t="shared" si="47"/>
        <v>International</v>
      </c>
    </row>
    <row r="662">
      <c r="A662" s="53"/>
      <c r="B662" s="50" t="str">
        <f>IFERROR(__xludf.DUMMYFUNCTION("""COMPUTED_VALUE"""),"     Relative of case [GENEPIO:0100267]               ")</f>
        <v>     Relative of case [GENEPIO:0100267]               </v>
      </c>
      <c r="C662" s="53" t="str">
        <f>IFERROR(__xludf.DUMMYFUNCTION("""COMPUTED_VALUE"""),"GENEPIO:0100267")</f>
        <v>GENEPIO:0100267</v>
      </c>
      <c r="D662" s="29" t="str">
        <f>IFERROR(__xludf.DUMMYFUNCTION("""COMPUTED_VALUE"""),"A role inhering in a person that is realized when the bearer is a relative of the case.")</f>
        <v>A role inhering in a person that is realized when the bearer is a relative of the case.</v>
      </c>
      <c r="H662" s="52" t="s">
        <v>19</v>
      </c>
      <c r="I662" s="52" t="s">
        <v>19</v>
      </c>
      <c r="J662" s="52" t="s">
        <v>19</v>
      </c>
      <c r="K662" s="52" t="str">
        <f t="shared" si="47"/>
        <v>International</v>
      </c>
      <c r="M662" s="56"/>
    </row>
    <row r="663">
      <c r="A663" s="53"/>
      <c r="B663" s="50" t="str">
        <f>IFERROR(__xludf.DUMMYFUNCTION("""COMPUTED_VALUE"""),"          Child of case [GENEPIO:0100268]          ")</f>
        <v>          Child of case [GENEPIO:0100268]          </v>
      </c>
      <c r="C663" s="53" t="str">
        <f>IFERROR(__xludf.DUMMYFUNCTION("""COMPUTED_VALUE"""),"GENEPIO:0100268")</f>
        <v>GENEPIO:0100268</v>
      </c>
      <c r="D663" s="29" t="str">
        <f>IFERROR(__xludf.DUMMYFUNCTION("""COMPUTED_VALUE"""),"A role inhering in a person that is realized when the bearer is a person younger than the age of majority.")</f>
        <v>A role inhering in a person that is realized when the bearer is a person younger than the age of majority.</v>
      </c>
      <c r="H663" s="52" t="s">
        <v>19</v>
      </c>
      <c r="I663" s="52" t="s">
        <v>19</v>
      </c>
      <c r="J663" s="52" t="s">
        <v>19</v>
      </c>
      <c r="K663" s="52" t="str">
        <f t="shared" si="47"/>
        <v>International</v>
      </c>
      <c r="M663" s="55"/>
    </row>
    <row r="664">
      <c r="A664" s="53"/>
      <c r="B664" s="50" t="str">
        <f>IFERROR(__xludf.DUMMYFUNCTION("""COMPUTED_VALUE"""),"          Parent of case [GENEPIO:0100269]          ")</f>
        <v>          Parent of case [GENEPIO:0100269]          </v>
      </c>
      <c r="C664" s="53" t="str">
        <f>IFERROR(__xludf.DUMMYFUNCTION("""COMPUTED_VALUE"""),"GENEPIO:0100269")</f>
        <v>GENEPIO:0100269</v>
      </c>
      <c r="D664"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64" s="52" t="s">
        <v>19</v>
      </c>
      <c r="I664" s="52" t="s">
        <v>19</v>
      </c>
      <c r="J664" s="52" t="s">
        <v>19</v>
      </c>
      <c r="K664" s="52" t="str">
        <f t="shared" si="47"/>
        <v>International</v>
      </c>
      <c r="M664" s="55"/>
    </row>
    <row r="665">
      <c r="A665" s="53"/>
      <c r="B665" s="50" t="str">
        <f>IFERROR(__xludf.DUMMYFUNCTION("""COMPUTED_VALUE"""),"               Father of case [GENEPIO:0100270]     ")</f>
        <v>               Father of case [GENEPIO:0100270]     </v>
      </c>
      <c r="C665" s="53" t="str">
        <f>IFERROR(__xludf.DUMMYFUNCTION("""COMPUTED_VALUE"""),"GENEPIO:0100270")</f>
        <v>GENEPIO:0100270</v>
      </c>
      <c r="D665" s="29" t="str">
        <f>IFERROR(__xludf.DUMMYFUNCTION("""COMPUTED_VALUE"""),"A role inhering in a person that is realized when the bearer is the male parent of a child.")</f>
        <v>A role inhering in a person that is realized when the bearer is the male parent of a child.</v>
      </c>
      <c r="H665" s="52" t="s">
        <v>19</v>
      </c>
      <c r="I665" s="52" t="s">
        <v>19</v>
      </c>
      <c r="J665" s="52" t="s">
        <v>19</v>
      </c>
      <c r="K665" s="52" t="str">
        <f t="shared" si="47"/>
        <v>International</v>
      </c>
      <c r="M665" s="55"/>
    </row>
    <row r="666">
      <c r="A666" s="53"/>
      <c r="B666" s="50" t="str">
        <f>IFERROR(__xludf.DUMMYFUNCTION("""COMPUTED_VALUE"""),"               Mother of case [GENEPIO:0100271]     ")</f>
        <v>               Mother of case [GENEPIO:0100271]     </v>
      </c>
      <c r="C666" s="53" t="str">
        <f>IFERROR(__xludf.DUMMYFUNCTION("""COMPUTED_VALUE"""),"GENEPIO:0100271")</f>
        <v>GENEPIO:0100271</v>
      </c>
      <c r="D666" s="29" t="str">
        <f>IFERROR(__xludf.DUMMYFUNCTION("""COMPUTED_VALUE"""),"A role inhering in a person that is realized when the bearer is the female parent of a child.")</f>
        <v>A role inhering in a person that is realized when the bearer is the female parent of a child.</v>
      </c>
      <c r="H666" s="52" t="s">
        <v>19</v>
      </c>
      <c r="I666" s="52" t="s">
        <v>19</v>
      </c>
      <c r="J666" s="52" t="s">
        <v>19</v>
      </c>
      <c r="K666" s="52" t="str">
        <f t="shared" si="47"/>
        <v>International</v>
      </c>
      <c r="M666" s="55"/>
    </row>
    <row r="667">
      <c r="A667" s="53"/>
      <c r="B667" s="50" t="str">
        <f>IFERROR(__xludf.DUMMYFUNCTION("""COMPUTED_VALUE"""),"     Sexual partner of case [GENEPIO:0100500]               ")</f>
        <v>     Sexual partner of case [GENEPIO:0100500]               </v>
      </c>
      <c r="C667" s="53" t="str">
        <f>IFERROR(__xludf.DUMMYFUNCTION("""COMPUTED_VALUE"""),"GENEPIO:0100500")</f>
        <v>GENEPIO:0100500</v>
      </c>
      <c r="D667" s="29" t="str">
        <f>IFERROR(__xludf.DUMMYFUNCTION("""COMPUTED_VALUE"""),"A role inhering in a person that is realized when the bearer is a sexual partner of the case.")</f>
        <v>A role inhering in a person that is realized when the bearer is a sexual partner of the case.</v>
      </c>
      <c r="H667" s="52" t="s">
        <v>19</v>
      </c>
      <c r="I667" s="52" t="s">
        <v>19</v>
      </c>
      <c r="J667" s="52" t="s">
        <v>19</v>
      </c>
      <c r="K667" s="52" t="str">
        <f t="shared" si="47"/>
        <v>International</v>
      </c>
      <c r="M667" s="55"/>
    </row>
    <row r="668">
      <c r="A668" s="53"/>
      <c r="B668" s="50" t="str">
        <f>IFERROR(__xludf.DUMMYFUNCTION("""COMPUTED_VALUE"""),"     Spouse of case [GENEPIO:0100272]               ")</f>
        <v>     Spouse of case [GENEPIO:0100272]               </v>
      </c>
      <c r="C668" s="53" t="str">
        <f>IFERROR(__xludf.DUMMYFUNCTION("""COMPUTED_VALUE"""),"GENEPIO:0100272")</f>
        <v>GENEPIO:0100272</v>
      </c>
      <c r="D668"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68" s="52"/>
      <c r="I668" s="52"/>
      <c r="J668" s="52"/>
      <c r="K668" s="53" t="s">
        <v>29</v>
      </c>
      <c r="L668" s="53" t="str">
        <f>LEFT(A668, LEN(A668) - 5)
</f>
        <v>#VALUE!</v>
      </c>
      <c r="M668" s="60" t="s">
        <v>29</v>
      </c>
    </row>
    <row r="669">
      <c r="A669" s="53"/>
      <c r="B669" s="50" t="str">
        <f>IFERROR(__xludf.DUMMYFUNCTION("""COMPUTED_VALUE"""),"Other Host Role                    ")</f>
        <v>Other Host Role                    </v>
      </c>
      <c r="C669" s="53"/>
      <c r="D669" s="29" t="str">
        <f>IFERROR(__xludf.DUMMYFUNCTION("""COMPUTED_VALUE"""),"A role undertaken by a host that is not categorized under specific predefined host roles.")</f>
        <v>A role undertaken by a host that is not categorized under specific predefined host roles.</v>
      </c>
      <c r="H669" s="52" t="s">
        <v>19</v>
      </c>
      <c r="I669" s="52" t="s">
        <v>19</v>
      </c>
      <c r="J669" s="52" t="s">
        <v>19</v>
      </c>
      <c r="K669" s="52" t="str">
        <f t="shared" ref="K669:K729" si="48">K668</f>
        <v>Mpox</v>
      </c>
      <c r="M669" s="55"/>
    </row>
    <row r="670">
      <c r="A670" s="53" t="str">
        <f>IFERROR(__xludf.DUMMYFUNCTION("""COMPUTED_VALUE"""),"exposure setting menu")</f>
        <v>exposure setting menu</v>
      </c>
      <c r="B670" s="50" t="str">
        <f>IFERROR(__xludf.DUMMYFUNCTION("""COMPUTED_VALUE"""),"                    ")</f>
        <v>                    </v>
      </c>
      <c r="C670" s="53"/>
      <c r="D670" s="29" t="str">
        <f>IFERROR(__xludf.DUMMYFUNCTION("""COMPUTED_VALUE"""),"")</f>
        <v/>
      </c>
      <c r="E670" s="53"/>
      <c r="F670" s="53"/>
      <c r="G670" s="53"/>
      <c r="H670" s="52" t="s">
        <v>19</v>
      </c>
      <c r="I670" s="52" t="s">
        <v>19</v>
      </c>
      <c r="J670" s="52" t="s">
        <v>19</v>
      </c>
      <c r="K670" s="52" t="str">
        <f t="shared" si="48"/>
        <v>Mpox</v>
      </c>
      <c r="M670" s="55"/>
    </row>
    <row r="671">
      <c r="A671" s="53"/>
      <c r="B671" s="50" t="str">
        <f>IFERROR(__xludf.DUMMYFUNCTION("""COMPUTED_VALUE"""),"Human Exposure                    ")</f>
        <v>Human Exposure                    </v>
      </c>
      <c r="C671" s="53" t="str">
        <f>IFERROR(__xludf.DUMMYFUNCTION("""COMPUTED_VALUE"""),"ECTO:3000005")</f>
        <v>ECTO:3000005</v>
      </c>
      <c r="D671" s="29" t="str">
        <f>IFERROR(__xludf.DUMMYFUNCTION("""COMPUTED_VALUE"""),"A history of exposure to Homo sapiens.")</f>
        <v>A history of exposure to Homo sapiens.</v>
      </c>
      <c r="H671" s="52" t="s">
        <v>19</v>
      </c>
      <c r="I671" s="52" t="s">
        <v>19</v>
      </c>
      <c r="J671" s="52" t="s">
        <v>19</v>
      </c>
      <c r="K671" s="52" t="str">
        <f t="shared" si="48"/>
        <v>Mpox</v>
      </c>
      <c r="M671" s="55"/>
    </row>
    <row r="672">
      <c r="A672" s="53"/>
      <c r="B672" s="50" t="str">
        <f>IFERROR(__xludf.DUMMYFUNCTION("""COMPUTED_VALUE"""),"     Contact with Known Monkeypox Case               ")</f>
        <v>     Contact with Known Monkeypox Case               </v>
      </c>
      <c r="C672" s="53" t="str">
        <f>IFERROR(__xludf.DUMMYFUNCTION("""COMPUTED_VALUE"""),"GENEPIO:0100501")</f>
        <v>GENEPIO:0100501</v>
      </c>
      <c r="D672"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72" s="52" t="s">
        <v>19</v>
      </c>
      <c r="I672" s="52" t="s">
        <v>19</v>
      </c>
      <c r="J672" s="52" t="s">
        <v>19</v>
      </c>
      <c r="K672" s="52" t="str">
        <f t="shared" si="48"/>
        <v>Mpox</v>
      </c>
      <c r="M672" s="55"/>
    </row>
    <row r="673">
      <c r="A673" s="53"/>
      <c r="B673" s="50" t="str">
        <f>IFERROR(__xludf.DUMMYFUNCTION("""COMPUTED_VALUE"""),"     Contact with Patient               ")</f>
        <v>     Contact with Patient               </v>
      </c>
      <c r="C673" s="53" t="str">
        <f>IFERROR(__xludf.DUMMYFUNCTION("""COMPUTED_VALUE"""),"GENEPIO:0100185")</f>
        <v>GENEPIO:0100185</v>
      </c>
      <c r="D673"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73" s="52" t="s">
        <v>19</v>
      </c>
      <c r="I673" s="52" t="s">
        <v>19</v>
      </c>
      <c r="J673" s="52" t="s">
        <v>19</v>
      </c>
      <c r="K673" s="52" t="str">
        <f t="shared" si="48"/>
        <v>Mpox</v>
      </c>
      <c r="M673" s="55"/>
    </row>
    <row r="674">
      <c r="A674" s="53"/>
      <c r="B674" s="50" t="str">
        <f>IFERROR(__xludf.DUMMYFUNCTION("""COMPUTED_VALUE"""),"     Contact with Probable Monkeypox Case               ")</f>
        <v>     Contact with Probable Monkeypox Case               </v>
      </c>
      <c r="C674" s="53" t="str">
        <f>IFERROR(__xludf.DUMMYFUNCTION("""COMPUTED_VALUE"""),"GENEPIO:0100502")</f>
        <v>GENEPIO:0100502</v>
      </c>
      <c r="D674"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74" s="52" t="s">
        <v>19</v>
      </c>
      <c r="I674" s="52" t="s">
        <v>19</v>
      </c>
      <c r="J674" s="52" t="s">
        <v>19</v>
      </c>
      <c r="K674" s="52" t="str">
        <f t="shared" si="48"/>
        <v>Mpox</v>
      </c>
      <c r="M674" s="55"/>
    </row>
    <row r="675">
      <c r="A675" s="53"/>
      <c r="B675" s="50" t="str">
        <f>IFERROR(__xludf.DUMMYFUNCTION("""COMPUTED_VALUE"""),"     Contact with Person who Recently Travelled               ")</f>
        <v>     Contact with Person who Recently Travelled               </v>
      </c>
      <c r="C675" s="53" t="str">
        <f>IFERROR(__xludf.DUMMYFUNCTION("""COMPUTED_VALUE"""),"GENEPIO:0100189")</f>
        <v>GENEPIO:0100189</v>
      </c>
      <c r="D675"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75" s="52" t="s">
        <v>19</v>
      </c>
      <c r="I675" s="52" t="s">
        <v>19</v>
      </c>
      <c r="J675" s="52" t="s">
        <v>19</v>
      </c>
      <c r="K675" s="52" t="str">
        <f t="shared" si="48"/>
        <v>Mpox</v>
      </c>
      <c r="M675" s="55"/>
    </row>
    <row r="676">
      <c r="A676" s="53"/>
      <c r="B676" s="50" t="str">
        <f>IFERROR(__xludf.DUMMYFUNCTION("""COMPUTED_VALUE"""),"Occupational, Residency or Patronage Exposure                    ")</f>
        <v>Occupational, Residency or Patronage Exposure                    </v>
      </c>
      <c r="C676" s="53" t="str">
        <f>IFERROR(__xludf.DUMMYFUNCTION("""COMPUTED_VALUE"""),"GENEPIO:0100190")</f>
        <v>GENEPIO:0100190</v>
      </c>
      <c r="D676"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76" s="52" t="s">
        <v>19</v>
      </c>
      <c r="I676" s="52" t="s">
        <v>19</v>
      </c>
      <c r="J676" s="52" t="s">
        <v>19</v>
      </c>
      <c r="K676" s="52" t="str">
        <f t="shared" si="48"/>
        <v>Mpox</v>
      </c>
      <c r="M676" s="55"/>
    </row>
    <row r="677">
      <c r="A677" s="53"/>
      <c r="B677" s="50" t="str">
        <f>IFERROR(__xludf.DUMMYFUNCTION("""COMPUTED_VALUE"""),"     Abbatoir               ")</f>
        <v>     Abbatoir               </v>
      </c>
      <c r="C677" s="53" t="str">
        <f>IFERROR(__xludf.DUMMYFUNCTION("""COMPUTED_VALUE"""),"ECTO:1000033")</f>
        <v>ECTO:1000033</v>
      </c>
      <c r="D677" s="29" t="str">
        <f>IFERROR(__xludf.DUMMYFUNCTION("""COMPUTED_VALUE"""),"A exposure event involving the interaction of an exposure receptor to abattoir.")</f>
        <v>A exposure event involving the interaction of an exposure receptor to abattoir.</v>
      </c>
      <c r="H677" s="52" t="s">
        <v>19</v>
      </c>
      <c r="I677" s="52" t="s">
        <v>19</v>
      </c>
      <c r="J677" s="52" t="s">
        <v>19</v>
      </c>
      <c r="K677" s="52" t="str">
        <f t="shared" si="48"/>
        <v>Mpox</v>
      </c>
      <c r="M677" s="55"/>
    </row>
    <row r="678">
      <c r="A678" s="53"/>
      <c r="B678" s="50" t="str">
        <f>IFERROR(__xludf.DUMMYFUNCTION("""COMPUTED_VALUE"""),"     Animal Rescue               ")</f>
        <v>     Animal Rescue               </v>
      </c>
      <c r="C678" s="53" t="str">
        <f>IFERROR(__xludf.DUMMYFUNCTION("""COMPUTED_VALUE"""),"GENEPIO:0100191")</f>
        <v>GENEPIO:0100191</v>
      </c>
      <c r="D678"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78" s="52" t="s">
        <v>19</v>
      </c>
      <c r="I678" s="52" t="s">
        <v>19</v>
      </c>
      <c r="J678" s="52" t="s">
        <v>19</v>
      </c>
      <c r="K678" s="52" t="str">
        <f t="shared" si="48"/>
        <v>Mpox</v>
      </c>
      <c r="M678" s="55"/>
    </row>
    <row r="679">
      <c r="A679" s="53"/>
      <c r="B679" s="50" t="str">
        <f>IFERROR(__xludf.DUMMYFUNCTION("""COMPUTED_VALUE"""),"     Bar (pub)               ")</f>
        <v>     Bar (pub)               </v>
      </c>
      <c r="C679" s="53" t="str">
        <f>IFERROR(__xludf.DUMMYFUNCTION("""COMPUTED_VALUE"""),"GENEPIO:0100503")</f>
        <v>GENEPIO:0100503</v>
      </c>
      <c r="D679"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H679" s="52" t="s">
        <v>19</v>
      </c>
      <c r="I679" s="52" t="s">
        <v>19</v>
      </c>
      <c r="J679" s="52" t="s">
        <v>19</v>
      </c>
      <c r="K679" s="52" t="str">
        <f t="shared" si="48"/>
        <v>Mpox</v>
      </c>
      <c r="M679" s="55"/>
    </row>
    <row r="680">
      <c r="A680" s="53"/>
      <c r="B680" s="50" t="str">
        <f>IFERROR(__xludf.DUMMYFUNCTION("""COMPUTED_VALUE"""),"     Childcare               ")</f>
        <v>     Childcare               </v>
      </c>
      <c r="C680" s="53" t="str">
        <f>IFERROR(__xludf.DUMMYFUNCTION("""COMPUTED_VALUE"""),"GENEPIO:0100192")</f>
        <v>GENEPIO:0100192</v>
      </c>
      <c r="D680"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80" s="52" t="s">
        <v>19</v>
      </c>
      <c r="I680" s="52" t="s">
        <v>19</v>
      </c>
      <c r="J680" s="52" t="s">
        <v>19</v>
      </c>
      <c r="K680" s="52" t="str">
        <f t="shared" si="48"/>
        <v>Mpox</v>
      </c>
      <c r="M680" s="55"/>
    </row>
    <row r="681">
      <c r="A681" s="53"/>
      <c r="B681" s="50" t="str">
        <f>IFERROR(__xludf.DUMMYFUNCTION("""COMPUTED_VALUE"""),"          Daycare          ")</f>
        <v>          Daycare          </v>
      </c>
      <c r="C681" s="53" t="str">
        <f>IFERROR(__xludf.DUMMYFUNCTION("""COMPUTED_VALUE"""),"GENEPIO:0100193")</f>
        <v>GENEPIO:0100193</v>
      </c>
      <c r="D681"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81" s="52" t="s">
        <v>19</v>
      </c>
      <c r="I681" s="52" t="s">
        <v>19</v>
      </c>
      <c r="J681" s="52" t="s">
        <v>19</v>
      </c>
      <c r="K681" s="52" t="str">
        <f t="shared" si="48"/>
        <v>Mpox</v>
      </c>
      <c r="M681" s="55"/>
    </row>
    <row r="682">
      <c r="A682" s="53"/>
      <c r="B682" s="50" t="str">
        <f>IFERROR(__xludf.DUMMYFUNCTION("""COMPUTED_VALUE"""),"          Nursery          ")</f>
        <v>          Nursery          </v>
      </c>
      <c r="C682" s="53" t="str">
        <f>IFERROR(__xludf.DUMMYFUNCTION("""COMPUTED_VALUE"""),"GENEPIO:0100194")</f>
        <v>GENEPIO:0100194</v>
      </c>
      <c r="D682"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82" s="52" t="s">
        <v>19</v>
      </c>
      <c r="I682" s="52" t="s">
        <v>19</v>
      </c>
      <c r="J682" s="52" t="s">
        <v>19</v>
      </c>
      <c r="K682" s="52" t="str">
        <f t="shared" si="48"/>
        <v>Mpox</v>
      </c>
      <c r="M682" s="55"/>
    </row>
    <row r="683">
      <c r="A683" s="53"/>
      <c r="B683" s="50" t="str">
        <f>IFERROR(__xludf.DUMMYFUNCTION("""COMPUTED_VALUE"""),"     Community Service Centre               ")</f>
        <v>     Community Service Centre               </v>
      </c>
      <c r="C683" s="53" t="str">
        <f>IFERROR(__xludf.DUMMYFUNCTION("""COMPUTED_VALUE"""),"GENEPIO:0100195")</f>
        <v>GENEPIO:0100195</v>
      </c>
      <c r="D683"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83" s="52" t="s">
        <v>19</v>
      </c>
      <c r="I683" s="52" t="s">
        <v>19</v>
      </c>
      <c r="J683" s="52" t="s">
        <v>19</v>
      </c>
      <c r="K683" s="52" t="str">
        <f t="shared" si="48"/>
        <v>Mpox</v>
      </c>
      <c r="M683" s="55"/>
    </row>
    <row r="684">
      <c r="A684" s="53"/>
      <c r="B684" s="50" t="str">
        <f>IFERROR(__xludf.DUMMYFUNCTION("""COMPUTED_VALUE"""),"     Correctional Facility               ")</f>
        <v>     Correctional Facility               </v>
      </c>
      <c r="C684" s="53" t="str">
        <f>IFERROR(__xludf.DUMMYFUNCTION("""COMPUTED_VALUE"""),"GENEPIO:0100196")</f>
        <v>GENEPIO:0100196</v>
      </c>
      <c r="D684"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84" s="52" t="s">
        <v>19</v>
      </c>
      <c r="I684" s="52" t="s">
        <v>19</v>
      </c>
      <c r="J684" s="52" t="s">
        <v>19</v>
      </c>
      <c r="K684" s="52" t="str">
        <f t="shared" si="48"/>
        <v>Mpox</v>
      </c>
      <c r="M684" s="55"/>
    </row>
    <row r="685">
      <c r="A685" s="53"/>
      <c r="B685" s="50" t="str">
        <f>IFERROR(__xludf.DUMMYFUNCTION("""COMPUTED_VALUE"""),"     Dormitory               ")</f>
        <v>     Dormitory               </v>
      </c>
      <c r="C685" s="53" t="str">
        <f>IFERROR(__xludf.DUMMYFUNCTION("""COMPUTED_VALUE"""),"GENEPIO:0100197")</f>
        <v>GENEPIO:0100197</v>
      </c>
      <c r="D685"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85" s="52" t="s">
        <v>19</v>
      </c>
      <c r="I685" s="52" t="s">
        <v>19</v>
      </c>
      <c r="J685" s="52" t="s">
        <v>19</v>
      </c>
      <c r="K685" s="52" t="str">
        <f t="shared" si="48"/>
        <v>Mpox</v>
      </c>
      <c r="M685" s="55"/>
    </row>
    <row r="686">
      <c r="A686" s="53"/>
      <c r="B686" s="50" t="str">
        <f>IFERROR(__xludf.DUMMYFUNCTION("""COMPUTED_VALUE"""),"     Farm               ")</f>
        <v>     Farm               </v>
      </c>
      <c r="C686" s="53" t="str">
        <f>IFERROR(__xludf.DUMMYFUNCTION("""COMPUTED_VALUE"""),"ECTO:1000034")</f>
        <v>ECTO:1000034</v>
      </c>
      <c r="D686" s="29" t="str">
        <f>IFERROR(__xludf.DUMMYFUNCTION("""COMPUTED_VALUE"""),"A exposure event involving the interaction of an exposure receptor to farm")</f>
        <v>A exposure event involving the interaction of an exposure receptor to farm</v>
      </c>
      <c r="H686" s="52" t="s">
        <v>19</v>
      </c>
      <c r="I686" s="52" t="s">
        <v>19</v>
      </c>
      <c r="J686" s="52" t="s">
        <v>19</v>
      </c>
      <c r="K686" s="52" t="str">
        <f t="shared" si="48"/>
        <v>Mpox</v>
      </c>
      <c r="M686" s="55"/>
    </row>
    <row r="687">
      <c r="A687" s="53"/>
      <c r="B687" s="50" t="str">
        <f>IFERROR(__xludf.DUMMYFUNCTION("""COMPUTED_VALUE"""),"     First Nations Reserve               ")</f>
        <v>     First Nations Reserve               </v>
      </c>
      <c r="C687" s="53" t="str">
        <f>IFERROR(__xludf.DUMMYFUNCTION("""COMPUTED_VALUE"""),"GENEPIO:0100198")</f>
        <v>GENEPIO:0100198</v>
      </c>
      <c r="D687"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87" s="52" t="s">
        <v>19</v>
      </c>
      <c r="I687" s="52" t="s">
        <v>19</v>
      </c>
      <c r="J687" s="52" t="s">
        <v>19</v>
      </c>
      <c r="K687" s="52" t="str">
        <f t="shared" si="48"/>
        <v>Mpox</v>
      </c>
      <c r="M687" s="55"/>
    </row>
    <row r="688">
      <c r="A688" s="53"/>
      <c r="B688" s="50" t="str">
        <f>IFERROR(__xludf.DUMMYFUNCTION("""COMPUTED_VALUE"""),"     Funeral Home               ")</f>
        <v>     Funeral Home               </v>
      </c>
      <c r="C688" s="53" t="str">
        <f>IFERROR(__xludf.DUMMYFUNCTION("""COMPUTED_VALUE"""),"GENEPIO:0100199")</f>
        <v>GENEPIO:0100199</v>
      </c>
      <c r="D688"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8" s="52" t="s">
        <v>19</v>
      </c>
      <c r="I688" s="52" t="s">
        <v>19</v>
      </c>
      <c r="J688" s="52" t="s">
        <v>19</v>
      </c>
      <c r="K688" s="52" t="str">
        <f t="shared" si="48"/>
        <v>Mpox</v>
      </c>
      <c r="M688" s="55"/>
    </row>
    <row r="689">
      <c r="A689" s="53"/>
      <c r="B689" s="50" t="str">
        <f>IFERROR(__xludf.DUMMYFUNCTION("""COMPUTED_VALUE"""),"     Group Home               ")</f>
        <v>     Group Home               </v>
      </c>
      <c r="C689" s="53" t="str">
        <f>IFERROR(__xludf.DUMMYFUNCTION("""COMPUTED_VALUE"""),"GENEPIO:0100200")</f>
        <v>GENEPIO:0100200</v>
      </c>
      <c r="D68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9" s="52" t="s">
        <v>19</v>
      </c>
      <c r="I689" s="52" t="s">
        <v>19</v>
      </c>
      <c r="J689" s="52" t="s">
        <v>19</v>
      </c>
      <c r="K689" s="52" t="str">
        <f t="shared" si="48"/>
        <v>Mpox</v>
      </c>
      <c r="M689" s="55"/>
    </row>
    <row r="690">
      <c r="A690" s="53"/>
      <c r="B690" s="50" t="str">
        <f>IFERROR(__xludf.DUMMYFUNCTION("""COMPUTED_VALUE"""),"     Healthcare Setting               ")</f>
        <v>     Healthcare Setting               </v>
      </c>
      <c r="C690" s="53" t="str">
        <f>IFERROR(__xludf.DUMMYFUNCTION("""COMPUTED_VALUE"""),"GENEPIO:0100201")</f>
        <v>GENEPIO:0100201</v>
      </c>
      <c r="D690"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90" s="52" t="s">
        <v>19</v>
      </c>
      <c r="I690" s="52" t="s">
        <v>19</v>
      </c>
      <c r="J690" s="52" t="s">
        <v>19</v>
      </c>
      <c r="K690" s="52" t="str">
        <f t="shared" si="48"/>
        <v>Mpox</v>
      </c>
      <c r="M690" s="55"/>
    </row>
    <row r="691">
      <c r="A691" s="53"/>
      <c r="B691" s="50" t="str">
        <f>IFERROR(__xludf.DUMMYFUNCTION("""COMPUTED_VALUE"""),"          Ambulance          ")</f>
        <v>          Ambulance          </v>
      </c>
      <c r="C691" s="53" t="str">
        <f>IFERROR(__xludf.DUMMYFUNCTION("""COMPUTED_VALUE"""),"GENEPIO:0100202")</f>
        <v>GENEPIO:0100202</v>
      </c>
      <c r="D691"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91" s="52" t="s">
        <v>19</v>
      </c>
      <c r="I691" s="52" t="s">
        <v>19</v>
      </c>
      <c r="J691" s="52" t="s">
        <v>19</v>
      </c>
      <c r="K691" s="52" t="str">
        <f t="shared" si="48"/>
        <v>Mpox</v>
      </c>
      <c r="M691" s="55"/>
    </row>
    <row r="692">
      <c r="A692" s="53"/>
      <c r="B692" s="50" t="str">
        <f>IFERROR(__xludf.DUMMYFUNCTION("""COMPUTED_VALUE"""),"          Acute Care Facility          ")</f>
        <v>          Acute Care Facility          </v>
      </c>
      <c r="C692" s="53" t="str">
        <f>IFERROR(__xludf.DUMMYFUNCTION("""COMPUTED_VALUE"""),"GENEPIO:0100203")</f>
        <v>GENEPIO:0100203</v>
      </c>
      <c r="D692"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92" s="52" t="s">
        <v>19</v>
      </c>
      <c r="I692" s="52" t="s">
        <v>19</v>
      </c>
      <c r="J692" s="52" t="s">
        <v>19</v>
      </c>
      <c r="K692" s="52" t="str">
        <f t="shared" si="48"/>
        <v>Mpox</v>
      </c>
      <c r="M692" s="55"/>
    </row>
    <row r="693">
      <c r="A693" s="53"/>
      <c r="B693" s="50" t="str">
        <f>IFERROR(__xludf.DUMMYFUNCTION("""COMPUTED_VALUE"""),"          Clinic          ")</f>
        <v>          Clinic          </v>
      </c>
      <c r="C693" s="53" t="str">
        <f>IFERROR(__xludf.DUMMYFUNCTION("""COMPUTED_VALUE"""),"GENEPIO:0100204")</f>
        <v>GENEPIO:0100204</v>
      </c>
      <c r="D693"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93" s="52" t="s">
        <v>19</v>
      </c>
      <c r="I693" s="52" t="s">
        <v>19</v>
      </c>
      <c r="J693" s="52" t="s">
        <v>19</v>
      </c>
      <c r="K693" s="52" t="str">
        <f t="shared" si="48"/>
        <v>Mpox</v>
      </c>
      <c r="M693" s="55"/>
    </row>
    <row r="694">
      <c r="A694" s="53"/>
      <c r="B694" s="50" t="str">
        <f>IFERROR(__xludf.DUMMYFUNCTION("""COMPUTED_VALUE"""),"          Community Healthcare (At-Home) Setting          ")</f>
        <v>          Community Healthcare (At-Home) Setting          </v>
      </c>
      <c r="C694" s="53" t="str">
        <f>IFERROR(__xludf.DUMMYFUNCTION("""COMPUTED_VALUE"""),"GENEPIO:0100415")</f>
        <v>GENEPIO:0100415</v>
      </c>
      <c r="D694"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94" s="52" t="s">
        <v>19</v>
      </c>
      <c r="I694" s="52" t="s">
        <v>19</v>
      </c>
      <c r="J694" s="52" t="s">
        <v>19</v>
      </c>
      <c r="K694" s="52" t="str">
        <f t="shared" si="48"/>
        <v>Mpox</v>
      </c>
      <c r="M694" s="55"/>
    </row>
    <row r="695">
      <c r="A695" s="53"/>
      <c r="B695" s="50" t="str">
        <f>IFERROR(__xludf.DUMMYFUNCTION("""COMPUTED_VALUE"""),"          Community Health Centre          ")</f>
        <v>          Community Health Centre          </v>
      </c>
      <c r="C695" s="53" t="str">
        <f>IFERROR(__xludf.DUMMYFUNCTION("""COMPUTED_VALUE"""),"GENEPIO:0100205")</f>
        <v>GENEPIO:0100205</v>
      </c>
      <c r="D695"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95" s="52" t="s">
        <v>19</v>
      </c>
      <c r="I695" s="52" t="s">
        <v>19</v>
      </c>
      <c r="J695" s="52" t="s">
        <v>19</v>
      </c>
      <c r="K695" s="52" t="str">
        <f t="shared" si="48"/>
        <v>Mpox</v>
      </c>
      <c r="M695" s="55"/>
    </row>
    <row r="696">
      <c r="A696" s="53"/>
      <c r="B696" s="50" t="str">
        <f>IFERROR(__xludf.DUMMYFUNCTION("""COMPUTED_VALUE"""),"          Hospital          ")</f>
        <v>          Hospital          </v>
      </c>
      <c r="C696" s="53" t="str">
        <f>IFERROR(__xludf.DUMMYFUNCTION("""COMPUTED_VALUE"""),"ECTO:1000035")</f>
        <v>ECTO:1000035</v>
      </c>
      <c r="D696" s="29" t="str">
        <f>IFERROR(__xludf.DUMMYFUNCTION("""COMPUTED_VALUE"""),"A exposure event involving the interaction of an exposure receptor to hospital.")</f>
        <v>A exposure event involving the interaction of an exposure receptor to hospital.</v>
      </c>
      <c r="H696" s="52" t="s">
        <v>19</v>
      </c>
      <c r="I696" s="52" t="s">
        <v>19</v>
      </c>
      <c r="J696" s="52" t="s">
        <v>19</v>
      </c>
      <c r="K696" s="52" t="str">
        <f t="shared" si="48"/>
        <v>Mpox</v>
      </c>
      <c r="M696" s="55"/>
    </row>
    <row r="697">
      <c r="A697" s="53"/>
      <c r="B697" s="50" t="str">
        <f>IFERROR(__xludf.DUMMYFUNCTION("""COMPUTED_VALUE"""),"               Emergency Department     ")</f>
        <v>               Emergency Department     </v>
      </c>
      <c r="C697" s="53" t="str">
        <f>IFERROR(__xludf.DUMMYFUNCTION("""COMPUTED_VALUE"""),"GENEPIO:0100206")</f>
        <v>GENEPIO:0100206</v>
      </c>
      <c r="D697"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97" s="52" t="s">
        <v>19</v>
      </c>
      <c r="I697" s="52" t="s">
        <v>19</v>
      </c>
      <c r="J697" s="52" t="s">
        <v>19</v>
      </c>
      <c r="K697" s="52" t="str">
        <f t="shared" si="48"/>
        <v>Mpox</v>
      </c>
      <c r="M697" s="55"/>
    </row>
    <row r="698">
      <c r="A698" s="53"/>
      <c r="B698" s="50" t="str">
        <f>IFERROR(__xludf.DUMMYFUNCTION("""COMPUTED_VALUE"""),"               ICU     ")</f>
        <v>               ICU     </v>
      </c>
      <c r="C698" s="53" t="str">
        <f>IFERROR(__xludf.DUMMYFUNCTION("""COMPUTED_VALUE"""),"GENEPIO:0100207")</f>
        <v>GENEPIO:0100207</v>
      </c>
      <c r="D698"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98" s="52" t="s">
        <v>19</v>
      </c>
      <c r="I698" s="52" t="s">
        <v>19</v>
      </c>
      <c r="J698" s="52" t="s">
        <v>19</v>
      </c>
      <c r="K698" s="52" t="str">
        <f t="shared" si="48"/>
        <v>Mpox</v>
      </c>
      <c r="M698" s="55"/>
    </row>
    <row r="699">
      <c r="A699" s="53"/>
      <c r="B699" s="50" t="str">
        <f>IFERROR(__xludf.DUMMYFUNCTION("""COMPUTED_VALUE"""),"               Ward     ")</f>
        <v>               Ward     </v>
      </c>
      <c r="C699" s="53" t="str">
        <f>IFERROR(__xludf.DUMMYFUNCTION("""COMPUTED_VALUE"""),"GENEPIO:0100208")</f>
        <v>GENEPIO:0100208</v>
      </c>
      <c r="D699"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99" s="52" t="s">
        <v>19</v>
      </c>
      <c r="I699" s="52" t="s">
        <v>19</v>
      </c>
      <c r="J699" s="52" t="s">
        <v>19</v>
      </c>
      <c r="K699" s="52" t="str">
        <f t="shared" si="48"/>
        <v>Mpox</v>
      </c>
      <c r="M699" s="55"/>
    </row>
    <row r="700">
      <c r="A700" s="53"/>
      <c r="B700" s="50" t="str">
        <f>IFERROR(__xludf.DUMMYFUNCTION("""COMPUTED_VALUE"""),"          Laboratory          ")</f>
        <v>          Laboratory          </v>
      </c>
      <c r="C700" s="53" t="str">
        <f>IFERROR(__xludf.DUMMYFUNCTION("""COMPUTED_VALUE"""),"ECTO:1000036")</f>
        <v>ECTO:1000036</v>
      </c>
      <c r="D700" s="29" t="str">
        <f>IFERROR(__xludf.DUMMYFUNCTION("""COMPUTED_VALUE"""),"A exposure event involving the interaction of an exposure receptor to laboratory facility.")</f>
        <v>A exposure event involving the interaction of an exposure receptor to laboratory facility.</v>
      </c>
      <c r="H700" s="52" t="s">
        <v>19</v>
      </c>
      <c r="I700" s="52" t="s">
        <v>19</v>
      </c>
      <c r="J700" s="52" t="s">
        <v>19</v>
      </c>
      <c r="K700" s="52" t="str">
        <f t="shared" si="48"/>
        <v>Mpox</v>
      </c>
      <c r="M700" s="55"/>
    </row>
    <row r="701">
      <c r="A701" s="53"/>
      <c r="B701" s="50" t="str">
        <f>IFERROR(__xludf.DUMMYFUNCTION("""COMPUTED_VALUE"""),"          Long-Term Care Facility          ")</f>
        <v>          Long-Term Care Facility          </v>
      </c>
      <c r="C701" s="53" t="str">
        <f>IFERROR(__xludf.DUMMYFUNCTION("""COMPUTED_VALUE"""),"GENEPIO:0100209")</f>
        <v>GENEPIO:0100209</v>
      </c>
      <c r="D701"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701" s="52" t="s">
        <v>19</v>
      </c>
      <c r="I701" s="52" t="s">
        <v>19</v>
      </c>
      <c r="J701" s="52" t="s">
        <v>19</v>
      </c>
      <c r="K701" s="52" t="str">
        <f t="shared" si="48"/>
        <v>Mpox</v>
      </c>
      <c r="M701" s="55"/>
    </row>
    <row r="702">
      <c r="A702" s="53"/>
      <c r="B702" s="50" t="str">
        <f>IFERROR(__xludf.DUMMYFUNCTION("""COMPUTED_VALUE"""),"          Pharmacy          ")</f>
        <v>          Pharmacy          </v>
      </c>
      <c r="C702" s="53" t="str">
        <f>IFERROR(__xludf.DUMMYFUNCTION("""COMPUTED_VALUE"""),"GENEPIO:0100210")</f>
        <v>GENEPIO:0100210</v>
      </c>
      <c r="D702"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702" s="52" t="s">
        <v>19</v>
      </c>
      <c r="I702" s="52" t="s">
        <v>19</v>
      </c>
      <c r="J702" s="52" t="s">
        <v>19</v>
      </c>
      <c r="K702" s="52" t="str">
        <f t="shared" si="48"/>
        <v>Mpox</v>
      </c>
      <c r="M702" s="55"/>
    </row>
    <row r="703">
      <c r="A703" s="53"/>
      <c r="B703" s="50" t="str">
        <f>IFERROR(__xludf.DUMMYFUNCTION("""COMPUTED_VALUE"""),"          Physician's Office          ")</f>
        <v>          Physician's Office          </v>
      </c>
      <c r="C703" s="53" t="str">
        <f>IFERROR(__xludf.DUMMYFUNCTION("""COMPUTED_VALUE"""),"GENEPIO:0100211")</f>
        <v>GENEPIO:0100211</v>
      </c>
      <c r="D703"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703" s="52" t="s">
        <v>19</v>
      </c>
      <c r="I703" s="52" t="s">
        <v>19</v>
      </c>
      <c r="J703" s="52" t="s">
        <v>19</v>
      </c>
      <c r="K703" s="52" t="str">
        <f t="shared" si="48"/>
        <v>Mpox</v>
      </c>
      <c r="M703" s="55"/>
    </row>
    <row r="704">
      <c r="A704" s="53"/>
      <c r="B704" s="50" t="str">
        <f>IFERROR(__xludf.DUMMYFUNCTION("""COMPUTED_VALUE"""),"     Household               ")</f>
        <v>     Household               </v>
      </c>
      <c r="C704" s="53" t="str">
        <f>IFERROR(__xludf.DUMMYFUNCTION("""COMPUTED_VALUE"""),"GENEPIO:0100212")</f>
        <v>GENEPIO:0100212</v>
      </c>
      <c r="D704"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704" s="52" t="s">
        <v>19</v>
      </c>
      <c r="I704" s="52" t="s">
        <v>19</v>
      </c>
      <c r="J704" s="52" t="s">
        <v>19</v>
      </c>
      <c r="K704" s="52" t="str">
        <f t="shared" si="48"/>
        <v>Mpox</v>
      </c>
      <c r="M704" s="55"/>
    </row>
    <row r="705">
      <c r="A705" s="53"/>
      <c r="B705" s="50" t="str">
        <f>IFERROR(__xludf.DUMMYFUNCTION("""COMPUTED_VALUE"""),"     Insecure Housing (Homeless)               ")</f>
        <v>     Insecure Housing (Homeless)               </v>
      </c>
      <c r="C705" s="53" t="str">
        <f>IFERROR(__xludf.DUMMYFUNCTION("""COMPUTED_VALUE"""),"GENEPIO:0100213")</f>
        <v>GENEPIO:0100213</v>
      </c>
      <c r="D705"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705" s="52" t="s">
        <v>19</v>
      </c>
      <c r="I705" s="52" t="s">
        <v>19</v>
      </c>
      <c r="J705" s="52" t="s">
        <v>19</v>
      </c>
      <c r="K705" s="52" t="str">
        <f t="shared" si="48"/>
        <v>Mpox</v>
      </c>
      <c r="M705" s="55"/>
    </row>
    <row r="706">
      <c r="A706" s="53"/>
      <c r="B706" s="50" t="str">
        <f>IFERROR(__xludf.DUMMYFUNCTION("""COMPUTED_VALUE"""),"     Occupational Exposure               ")</f>
        <v>     Occupational Exposure               </v>
      </c>
      <c r="C706" s="53" t="str">
        <f>IFERROR(__xludf.DUMMYFUNCTION("""COMPUTED_VALUE"""),"GENEPIO:0100214")</f>
        <v>GENEPIO:0100214</v>
      </c>
      <c r="D706"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706" s="52" t="s">
        <v>19</v>
      </c>
      <c r="I706" s="52" t="s">
        <v>19</v>
      </c>
      <c r="J706" s="52" t="s">
        <v>19</v>
      </c>
      <c r="K706" s="52" t="str">
        <f t="shared" si="48"/>
        <v>Mpox</v>
      </c>
      <c r="M706" s="55"/>
    </row>
    <row r="707">
      <c r="A707" s="53"/>
      <c r="B707" s="50" t="str">
        <f>IFERROR(__xludf.DUMMYFUNCTION("""COMPUTED_VALUE"""),"          Worksite          ")</f>
        <v>          Worksite          </v>
      </c>
      <c r="C707" s="53" t="str">
        <f>IFERROR(__xludf.DUMMYFUNCTION("""COMPUTED_VALUE"""),"GENEPIO:0100215")</f>
        <v>GENEPIO:0100215</v>
      </c>
      <c r="D707"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707" s="52" t="s">
        <v>19</v>
      </c>
      <c r="I707" s="52" t="s">
        <v>19</v>
      </c>
      <c r="J707" s="52" t="s">
        <v>19</v>
      </c>
      <c r="K707" s="52" t="str">
        <f t="shared" si="48"/>
        <v>Mpox</v>
      </c>
      <c r="M707" s="55"/>
    </row>
    <row r="708">
      <c r="A708" s="53"/>
      <c r="B708" s="50" t="str">
        <f>IFERROR(__xludf.DUMMYFUNCTION("""COMPUTED_VALUE"""),"               Office     ")</f>
        <v>               Office     </v>
      </c>
      <c r="C708" s="53" t="str">
        <f>IFERROR(__xludf.DUMMYFUNCTION("""COMPUTED_VALUE"""),"ECTO:1000037")</f>
        <v>ECTO:1000037</v>
      </c>
      <c r="D708" s="29" t="str">
        <f>IFERROR(__xludf.DUMMYFUNCTION("""COMPUTED_VALUE"""),"A exposure event involving the interaction of an exposure receptor to office.")</f>
        <v>A exposure event involving the interaction of an exposure receptor to office.</v>
      </c>
      <c r="H708" s="52" t="s">
        <v>19</v>
      </c>
      <c r="I708" s="52" t="s">
        <v>19</v>
      </c>
      <c r="J708" s="52" t="s">
        <v>19</v>
      </c>
      <c r="K708" s="52" t="str">
        <f t="shared" si="48"/>
        <v>Mpox</v>
      </c>
      <c r="M708" s="55"/>
    </row>
    <row r="709">
      <c r="A709" s="53"/>
      <c r="B709" s="50" t="str">
        <f>IFERROR(__xludf.DUMMYFUNCTION("""COMPUTED_VALUE"""),"     Outdoors               ")</f>
        <v>     Outdoors               </v>
      </c>
      <c r="C709" s="53" t="str">
        <f>IFERROR(__xludf.DUMMYFUNCTION("""COMPUTED_VALUE"""),"GENEPIO:0100216")</f>
        <v>GENEPIO:0100216</v>
      </c>
      <c r="D709" s="29" t="str">
        <f>IFERROR(__xludf.DUMMYFUNCTION("""COMPUTED_VALUE"""),"A process occuring outdoors that exposes the recipient organism to a material entity.")</f>
        <v>A process occuring outdoors that exposes the recipient organism to a material entity.</v>
      </c>
      <c r="H709" s="52" t="s">
        <v>19</v>
      </c>
      <c r="I709" s="52" t="s">
        <v>19</v>
      </c>
      <c r="J709" s="52" t="s">
        <v>19</v>
      </c>
      <c r="K709" s="52" t="str">
        <f t="shared" si="48"/>
        <v>Mpox</v>
      </c>
      <c r="M709" s="55"/>
    </row>
    <row r="710">
      <c r="A710" s="53"/>
      <c r="B710" s="50" t="str">
        <f>IFERROR(__xludf.DUMMYFUNCTION("""COMPUTED_VALUE"""),"          Camp/camping          ")</f>
        <v>          Camp/camping          </v>
      </c>
      <c r="C710" s="53" t="str">
        <f>IFERROR(__xludf.DUMMYFUNCTION("""COMPUTED_VALUE"""),"ECTO:5000009")</f>
        <v>ECTO:5000009</v>
      </c>
      <c r="D710" s="29" t="str">
        <f>IFERROR(__xludf.DUMMYFUNCTION("""COMPUTED_VALUE"""),"A exposure event involving the interaction of an exposure receptor to campground.")</f>
        <v>A exposure event involving the interaction of an exposure receptor to campground.</v>
      </c>
      <c r="H710" s="52" t="s">
        <v>19</v>
      </c>
      <c r="I710" s="52" t="s">
        <v>19</v>
      </c>
      <c r="J710" s="52" t="s">
        <v>19</v>
      </c>
      <c r="K710" s="52" t="str">
        <f t="shared" si="48"/>
        <v>Mpox</v>
      </c>
      <c r="M710" s="55"/>
    </row>
    <row r="711">
      <c r="A711" s="53"/>
      <c r="B711" s="50" t="str">
        <f>IFERROR(__xludf.DUMMYFUNCTION("""COMPUTED_VALUE"""),"          Hiking Trail          ")</f>
        <v>          Hiking Trail          </v>
      </c>
      <c r="C711" s="53" t="str">
        <f>IFERROR(__xludf.DUMMYFUNCTION("""COMPUTED_VALUE"""),"GENEPIO:0100217")</f>
        <v>GENEPIO:0100217</v>
      </c>
      <c r="D711" s="29" t="str">
        <f>IFERROR(__xludf.DUMMYFUNCTION("""COMPUTED_VALUE"""),"A process that exposes the recipient organism to a material entity as a consequence of hiking.")</f>
        <v>A process that exposes the recipient organism to a material entity as a consequence of hiking.</v>
      </c>
      <c r="H711" s="52" t="s">
        <v>19</v>
      </c>
      <c r="I711" s="52" t="s">
        <v>19</v>
      </c>
      <c r="J711" s="52" t="s">
        <v>19</v>
      </c>
      <c r="K711" s="52" t="str">
        <f t="shared" si="48"/>
        <v>Mpox</v>
      </c>
      <c r="M711" s="55"/>
    </row>
    <row r="712">
      <c r="A712" s="29"/>
      <c r="B712" s="50" t="str">
        <f>IFERROR(__xludf.DUMMYFUNCTION("""COMPUTED_VALUE"""),"          Hunting Ground          ")</f>
        <v>          Hunting Ground          </v>
      </c>
      <c r="C712" s="29" t="str">
        <f>IFERROR(__xludf.DUMMYFUNCTION("""COMPUTED_VALUE"""),"ECTO:6000030")</f>
        <v>ECTO:6000030</v>
      </c>
      <c r="D712" s="29" t="str">
        <f>IFERROR(__xludf.DUMMYFUNCTION("""COMPUTED_VALUE"""),"An exposure event involving hunting behavior")</f>
        <v>An exposure event involving hunting behavior</v>
      </c>
      <c r="E712" s="29"/>
      <c r="F712" s="29"/>
      <c r="G712" s="29"/>
      <c r="H712" s="54" t="s">
        <v>19</v>
      </c>
      <c r="I712" s="54" t="s">
        <v>19</v>
      </c>
      <c r="J712" s="54" t="s">
        <v>19</v>
      </c>
      <c r="K712" s="52" t="str">
        <f t="shared" si="48"/>
        <v>Mpox</v>
      </c>
      <c r="M712" s="55"/>
    </row>
    <row r="713">
      <c r="A713" s="29"/>
      <c r="B713" s="50" t="str">
        <f>IFERROR(__xludf.DUMMYFUNCTION("""COMPUTED_VALUE"""),"          Ski Resort          ")</f>
        <v>          Ski Resort          </v>
      </c>
      <c r="C713" s="29" t="str">
        <f>IFERROR(__xludf.DUMMYFUNCTION("""COMPUTED_VALUE"""),"GENEPIO:0100218")</f>
        <v>GENEPIO:0100218</v>
      </c>
      <c r="D713"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13" s="29"/>
      <c r="F713" s="29"/>
      <c r="G713" s="29"/>
      <c r="H713" s="54" t="s">
        <v>19</v>
      </c>
      <c r="I713" s="54" t="s">
        <v>19</v>
      </c>
      <c r="J713" s="54" t="s">
        <v>19</v>
      </c>
      <c r="K713" s="52" t="str">
        <f t="shared" si="48"/>
        <v>Mpox</v>
      </c>
      <c r="M713" s="55"/>
    </row>
    <row r="714">
      <c r="A714" s="29"/>
      <c r="B714" s="50" t="str">
        <f>IFERROR(__xludf.DUMMYFUNCTION("""COMPUTED_VALUE"""),"     Petting zoo               ")</f>
        <v>     Petting zoo               </v>
      </c>
      <c r="C714" s="29" t="str">
        <f>IFERROR(__xludf.DUMMYFUNCTION("""COMPUTED_VALUE"""),"ECTO:5000008")</f>
        <v>ECTO:5000008</v>
      </c>
      <c r="D714" s="29" t="str">
        <f>IFERROR(__xludf.DUMMYFUNCTION("""COMPUTED_VALUE"""),"A exposure event involving the interaction of an exposure receptor to petting zoo.")</f>
        <v>A exposure event involving the interaction of an exposure receptor to petting zoo.</v>
      </c>
      <c r="E714" s="29"/>
      <c r="F714" s="29"/>
      <c r="G714" s="29"/>
      <c r="H714" s="54" t="s">
        <v>19</v>
      </c>
      <c r="I714" s="54" t="s">
        <v>19</v>
      </c>
      <c r="J714" s="54" t="s">
        <v>19</v>
      </c>
      <c r="K714" s="52" t="str">
        <f t="shared" si="48"/>
        <v>Mpox</v>
      </c>
      <c r="M714" s="55"/>
    </row>
    <row r="715">
      <c r="A715" s="29"/>
      <c r="B715" s="50" t="str">
        <f>IFERROR(__xludf.DUMMYFUNCTION("""COMPUTED_VALUE"""),"     Place of Worship               ")</f>
        <v>     Place of Worship               </v>
      </c>
      <c r="C715" s="29" t="str">
        <f>IFERROR(__xludf.DUMMYFUNCTION("""COMPUTED_VALUE"""),"GENEPIO:0100220")</f>
        <v>GENEPIO:0100220</v>
      </c>
      <c r="D715"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15" s="29"/>
      <c r="F715" s="29"/>
      <c r="G715" s="29"/>
      <c r="H715" s="54" t="s">
        <v>19</v>
      </c>
      <c r="I715" s="54" t="s">
        <v>19</v>
      </c>
      <c r="J715" s="54" t="s">
        <v>19</v>
      </c>
      <c r="K715" s="52" t="str">
        <f t="shared" si="48"/>
        <v>Mpox</v>
      </c>
      <c r="M715" s="55"/>
    </row>
    <row r="716">
      <c r="A716" s="29"/>
      <c r="B716" s="50" t="str">
        <f>IFERROR(__xludf.DUMMYFUNCTION("""COMPUTED_VALUE"""),"          Church          ")</f>
        <v>          Church          </v>
      </c>
      <c r="C716" s="29" t="str">
        <f>IFERROR(__xludf.DUMMYFUNCTION("""COMPUTED_VALUE"""),"GENEPIO:0100221")</f>
        <v>GENEPIO:0100221</v>
      </c>
      <c r="D716"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16" s="29"/>
      <c r="F716" s="29"/>
      <c r="G716" s="29"/>
      <c r="H716" s="54" t="s">
        <v>19</v>
      </c>
      <c r="I716" s="54" t="s">
        <v>19</v>
      </c>
      <c r="J716" s="54" t="s">
        <v>19</v>
      </c>
      <c r="K716" s="52" t="str">
        <f t="shared" si="48"/>
        <v>Mpox</v>
      </c>
      <c r="M716" s="55"/>
    </row>
    <row r="717">
      <c r="A717" s="29"/>
      <c r="B717" s="50" t="str">
        <f>IFERROR(__xludf.DUMMYFUNCTION("""COMPUTED_VALUE"""),"          Mosque          ")</f>
        <v>          Mosque          </v>
      </c>
      <c r="C717" s="29" t="str">
        <f>IFERROR(__xludf.DUMMYFUNCTION("""COMPUTED_VALUE"""),"GENEPIO:0100222")</f>
        <v>GENEPIO:0100222</v>
      </c>
      <c r="D717"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17" s="29"/>
      <c r="F717" s="29"/>
      <c r="G717" s="29"/>
      <c r="H717" s="54" t="s">
        <v>19</v>
      </c>
      <c r="I717" s="54" t="s">
        <v>19</v>
      </c>
      <c r="J717" s="54" t="s">
        <v>19</v>
      </c>
      <c r="K717" s="52" t="str">
        <f t="shared" si="48"/>
        <v>Mpox</v>
      </c>
      <c r="M717" s="55"/>
    </row>
    <row r="718">
      <c r="A718" s="29"/>
      <c r="B718" s="50" t="str">
        <f>IFERROR(__xludf.DUMMYFUNCTION("""COMPUTED_VALUE"""),"          Temple          ")</f>
        <v>          Temple          </v>
      </c>
      <c r="C718" s="29" t="str">
        <f>IFERROR(__xludf.DUMMYFUNCTION("""COMPUTED_VALUE"""),"GENEPIO:0100223")</f>
        <v>GENEPIO:0100223</v>
      </c>
      <c r="D718"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18" s="29"/>
      <c r="F718" s="29"/>
      <c r="G718" s="29"/>
      <c r="H718" s="54" t="s">
        <v>19</v>
      </c>
      <c r="I718" s="54" t="s">
        <v>19</v>
      </c>
      <c r="J718" s="54" t="s">
        <v>19</v>
      </c>
      <c r="K718" s="52" t="str">
        <f t="shared" si="48"/>
        <v>Mpox</v>
      </c>
      <c r="M718" s="55"/>
    </row>
    <row r="719">
      <c r="A719" s="29"/>
      <c r="B719" s="50" t="str">
        <f>IFERROR(__xludf.DUMMYFUNCTION("""COMPUTED_VALUE"""),"     Restaurant               ")</f>
        <v>     Restaurant               </v>
      </c>
      <c r="C719" s="29" t="str">
        <f>IFERROR(__xludf.DUMMYFUNCTION("""COMPUTED_VALUE"""),"ECTO:1000040")</f>
        <v>ECTO:1000040</v>
      </c>
      <c r="D719" s="29" t="str">
        <f>IFERROR(__xludf.DUMMYFUNCTION("""COMPUTED_VALUE"""),"A exposure event involving the interaction of an exposure receptor to restaurant.")</f>
        <v>A exposure event involving the interaction of an exposure receptor to restaurant.</v>
      </c>
      <c r="E719" s="29"/>
      <c r="F719" s="29"/>
      <c r="G719" s="29"/>
      <c r="H719" s="54" t="s">
        <v>19</v>
      </c>
      <c r="I719" s="54" t="s">
        <v>19</v>
      </c>
      <c r="J719" s="54" t="s">
        <v>19</v>
      </c>
      <c r="K719" s="52" t="str">
        <f t="shared" si="48"/>
        <v>Mpox</v>
      </c>
      <c r="M719" s="55"/>
    </row>
    <row r="720">
      <c r="A720" s="29"/>
      <c r="B720" s="50" t="str">
        <f>IFERROR(__xludf.DUMMYFUNCTION("""COMPUTED_VALUE"""),"     Retail Store               ")</f>
        <v>     Retail Store               </v>
      </c>
      <c r="C720" s="29" t="str">
        <f>IFERROR(__xludf.DUMMYFUNCTION("""COMPUTED_VALUE"""),"ECTO:1000041")</f>
        <v>ECTO:1000041</v>
      </c>
      <c r="D720" s="29" t="str">
        <f>IFERROR(__xludf.DUMMYFUNCTION("""COMPUTED_VALUE"""),"A exposure event involving the interaction of an exposure receptor to shop.")</f>
        <v>A exposure event involving the interaction of an exposure receptor to shop.</v>
      </c>
      <c r="E720" s="29"/>
      <c r="F720" s="29"/>
      <c r="G720" s="29"/>
      <c r="H720" s="54" t="s">
        <v>19</v>
      </c>
      <c r="I720" s="54" t="s">
        <v>19</v>
      </c>
      <c r="J720" s="54" t="s">
        <v>19</v>
      </c>
      <c r="K720" s="52" t="str">
        <f t="shared" si="48"/>
        <v>Mpox</v>
      </c>
      <c r="M720" s="55"/>
    </row>
    <row r="721">
      <c r="A721" s="29"/>
      <c r="B721" s="50" t="str">
        <f>IFERROR(__xludf.DUMMYFUNCTION("""COMPUTED_VALUE"""),"     School               ")</f>
        <v>     School               </v>
      </c>
      <c r="C721" s="29" t="str">
        <f>IFERROR(__xludf.DUMMYFUNCTION("""COMPUTED_VALUE"""),"GENEPIO:0100224")</f>
        <v>GENEPIO:0100224</v>
      </c>
      <c r="D721"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21" s="29"/>
      <c r="F721" s="29"/>
      <c r="G721" s="29"/>
      <c r="H721" s="54" t="s">
        <v>19</v>
      </c>
      <c r="I721" s="54" t="s">
        <v>19</v>
      </c>
      <c r="J721" s="54" t="s">
        <v>19</v>
      </c>
      <c r="K721" s="52" t="str">
        <f t="shared" si="48"/>
        <v>Mpox</v>
      </c>
      <c r="M721" s="55"/>
    </row>
    <row r="722">
      <c r="A722" s="29"/>
      <c r="B722" s="50" t="str">
        <f>IFERROR(__xludf.DUMMYFUNCTION("""COMPUTED_VALUE"""),"     Temporary Residence               ")</f>
        <v>     Temporary Residence               </v>
      </c>
      <c r="C722" s="29" t="str">
        <f>IFERROR(__xludf.DUMMYFUNCTION("""COMPUTED_VALUE"""),"GENEPIO:0100225")</f>
        <v>GENEPIO:0100225</v>
      </c>
      <c r="D722"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22" s="29"/>
      <c r="F722" s="29"/>
      <c r="G722" s="29"/>
      <c r="H722" s="54" t="s">
        <v>19</v>
      </c>
      <c r="I722" s="54" t="s">
        <v>19</v>
      </c>
      <c r="J722" s="54" t="s">
        <v>19</v>
      </c>
      <c r="K722" s="52" t="str">
        <f t="shared" si="48"/>
        <v>Mpox</v>
      </c>
      <c r="M722" s="57"/>
    </row>
    <row r="723">
      <c r="A723" s="29"/>
      <c r="B723" s="50" t="str">
        <f>IFERROR(__xludf.DUMMYFUNCTION("""COMPUTED_VALUE"""),"          Homeless Shelter          ")</f>
        <v>          Homeless Shelter          </v>
      </c>
      <c r="C723" s="29" t="str">
        <f>IFERROR(__xludf.DUMMYFUNCTION("""COMPUTED_VALUE"""),"GENEPIO:0100226")</f>
        <v>GENEPIO:0100226</v>
      </c>
      <c r="D723"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23" s="29"/>
      <c r="F723" s="29"/>
      <c r="G723" s="29"/>
      <c r="H723" s="54" t="s">
        <v>19</v>
      </c>
      <c r="I723" s="54" t="s">
        <v>19</v>
      </c>
      <c r="J723" s="54" t="s">
        <v>19</v>
      </c>
      <c r="K723" s="52" t="str">
        <f t="shared" si="48"/>
        <v>Mpox</v>
      </c>
    </row>
    <row r="724">
      <c r="A724" s="29"/>
      <c r="B724" s="50" t="str">
        <f>IFERROR(__xludf.DUMMYFUNCTION("""COMPUTED_VALUE"""),"          Hotel          ")</f>
        <v>          Hotel          </v>
      </c>
      <c r="C724" s="29" t="str">
        <f>IFERROR(__xludf.DUMMYFUNCTION("""COMPUTED_VALUE"""),"GENEPIO:0100227")</f>
        <v>GENEPIO:0100227</v>
      </c>
      <c r="D724"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24" s="29"/>
      <c r="F724" s="29"/>
      <c r="G724" s="29"/>
      <c r="H724" s="54" t="s">
        <v>19</v>
      </c>
      <c r="I724" s="54" t="s">
        <v>19</v>
      </c>
      <c r="J724" s="54" t="s">
        <v>19</v>
      </c>
      <c r="K724" s="52" t="str">
        <f t="shared" si="48"/>
        <v>Mpox</v>
      </c>
      <c r="M724" s="56"/>
    </row>
    <row r="725">
      <c r="A725" s="29"/>
      <c r="B725" s="50" t="str">
        <f>IFERROR(__xludf.DUMMYFUNCTION("""COMPUTED_VALUE"""),"     Veterinary Care Clinic               ")</f>
        <v>     Veterinary Care Clinic               </v>
      </c>
      <c r="C725" s="29" t="str">
        <f>IFERROR(__xludf.DUMMYFUNCTION("""COMPUTED_VALUE"""),"GENEPIO:0100228")</f>
        <v>GENEPIO:0100228</v>
      </c>
      <c r="D725"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25" s="29"/>
      <c r="F725" s="29"/>
      <c r="G725" s="29"/>
      <c r="H725" s="54" t="s">
        <v>19</v>
      </c>
      <c r="I725" s="54" t="s">
        <v>19</v>
      </c>
      <c r="J725" s="54" t="s">
        <v>19</v>
      </c>
      <c r="K725" s="52" t="str">
        <f t="shared" si="48"/>
        <v>Mpox</v>
      </c>
      <c r="M725" s="55"/>
    </row>
    <row r="726">
      <c r="A726" s="29"/>
      <c r="B726" s="50" t="str">
        <f>IFERROR(__xludf.DUMMYFUNCTION("""COMPUTED_VALUE"""),"Travel Exposure                    ")</f>
        <v>Travel Exposure                    </v>
      </c>
      <c r="C726" s="29" t="str">
        <f>IFERROR(__xludf.DUMMYFUNCTION("""COMPUTED_VALUE"""),"GENEPIO:0100229")</f>
        <v>GENEPIO:0100229</v>
      </c>
      <c r="D726" s="29" t="str">
        <f>IFERROR(__xludf.DUMMYFUNCTION("""COMPUTED_VALUE"""),"A process occuring as a result of travel that exposes the recipient organism to a material entity.")</f>
        <v>A process occuring as a result of travel that exposes the recipient organism to a material entity.</v>
      </c>
      <c r="E726" s="29"/>
      <c r="F726" s="29"/>
      <c r="G726" s="29"/>
      <c r="H726" s="54" t="s">
        <v>19</v>
      </c>
      <c r="I726" s="54" t="s">
        <v>19</v>
      </c>
      <c r="J726" s="54" t="s">
        <v>19</v>
      </c>
      <c r="K726" s="52" t="str">
        <f t="shared" si="48"/>
        <v>Mpox</v>
      </c>
      <c r="M726" s="55"/>
    </row>
    <row r="727">
      <c r="A727" s="29"/>
      <c r="B727" s="50" t="str">
        <f>IFERROR(__xludf.DUMMYFUNCTION("""COMPUTED_VALUE"""),"     Travelled on a Cruise Ship               ")</f>
        <v>     Travelled on a Cruise Ship               </v>
      </c>
      <c r="C727" s="29" t="str">
        <f>IFERROR(__xludf.DUMMYFUNCTION("""COMPUTED_VALUE"""),"GENEPIO:0100230")</f>
        <v>GENEPIO:0100230</v>
      </c>
      <c r="D727"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27" s="29"/>
      <c r="F727" s="29"/>
      <c r="G727" s="29"/>
      <c r="H727" s="54" t="s">
        <v>19</v>
      </c>
      <c r="I727" s="54" t="s">
        <v>19</v>
      </c>
      <c r="J727" s="54" t="s">
        <v>19</v>
      </c>
      <c r="K727" s="52" t="str">
        <f t="shared" si="48"/>
        <v>Mpox</v>
      </c>
      <c r="M727" s="55"/>
    </row>
    <row r="728">
      <c r="A728" s="29"/>
      <c r="B728" s="50" t="str">
        <f>IFERROR(__xludf.DUMMYFUNCTION("""COMPUTED_VALUE"""),"     Travelled on a Plane               ")</f>
        <v>     Travelled on a Plane               </v>
      </c>
      <c r="C728" s="29" t="str">
        <f>IFERROR(__xludf.DUMMYFUNCTION("""COMPUTED_VALUE"""),"GENEPIO:0100231")</f>
        <v>GENEPIO:0100231</v>
      </c>
      <c r="D728"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28" s="29"/>
      <c r="F728" s="29"/>
      <c r="G728" s="29"/>
      <c r="H728" s="54" t="s">
        <v>19</v>
      </c>
      <c r="I728" s="54" t="s">
        <v>19</v>
      </c>
      <c r="J728" s="54" t="s">
        <v>19</v>
      </c>
      <c r="K728" s="52" t="str">
        <f t="shared" si="48"/>
        <v>Mpox</v>
      </c>
      <c r="M728" s="55"/>
    </row>
    <row r="729">
      <c r="A729" s="29"/>
      <c r="B729" s="50" t="str">
        <f>IFERROR(__xludf.DUMMYFUNCTION("""COMPUTED_VALUE"""),"     Travelled on Ground Transport               ")</f>
        <v>     Travelled on Ground Transport               </v>
      </c>
      <c r="C729" s="29" t="str">
        <f>IFERROR(__xludf.DUMMYFUNCTION("""COMPUTED_VALUE"""),"GENEPIO:0100232")</f>
        <v>GENEPIO:0100232</v>
      </c>
      <c r="D729"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29" s="29"/>
      <c r="F729" s="29"/>
      <c r="G729" s="29"/>
      <c r="H729" s="54" t="s">
        <v>19</v>
      </c>
      <c r="I729" s="54" t="s">
        <v>19</v>
      </c>
      <c r="J729" s="54" t="s">
        <v>19</v>
      </c>
      <c r="K729" s="52" t="str">
        <f t="shared" si="48"/>
        <v>Mpox</v>
      </c>
      <c r="M729" s="55"/>
    </row>
    <row r="730">
      <c r="A730" s="29"/>
      <c r="B730" s="50" t="str">
        <f>IFERROR(__xludf.DUMMYFUNCTION("""COMPUTED_VALUE"""),"Other Exposure Setting                    ")</f>
        <v>Other Exposure Setting                    </v>
      </c>
      <c r="C730" s="29" t="str">
        <f>IFERROR(__xludf.DUMMYFUNCTION("""COMPUTED_VALUE"""),"GENEPIO:0100235")</f>
        <v>GENEPIO:0100235</v>
      </c>
      <c r="D730" s="29" t="str">
        <f>IFERROR(__xludf.DUMMYFUNCTION("""COMPUTED_VALUE"""),"A process occuring that exposes the recipient organism to a material entity.")</f>
        <v>A process occuring that exposes the recipient organism to a material entity.</v>
      </c>
      <c r="E730" s="29"/>
      <c r="F730" s="29"/>
      <c r="G730" s="29"/>
      <c r="H730" s="54"/>
      <c r="I730" s="54"/>
      <c r="J730" s="54"/>
      <c r="K730" s="53" t="s">
        <v>31</v>
      </c>
      <c r="L730" s="29" t="str">
        <f>LEFT(A730, LEN(A730) - 5)
</f>
        <v>#VALUE!</v>
      </c>
      <c r="M730" s="58" t="s">
        <v>32</v>
      </c>
    </row>
    <row r="731">
      <c r="A731" s="29"/>
      <c r="B731" s="50" t="str">
        <f>IFERROR(__xludf.DUMMYFUNCTION("""COMPUTED_VALUE"""),"                    ")</f>
        <v>                    </v>
      </c>
      <c r="C731" s="29"/>
      <c r="D731" s="29" t="str">
        <f>IFERROR(__xludf.DUMMYFUNCTION("""COMPUTED_VALUE"""),"")</f>
        <v/>
      </c>
      <c r="E731" s="29"/>
      <c r="F731" s="29"/>
      <c r="G731" s="29"/>
      <c r="H731" s="54" t="s">
        <v>19</v>
      </c>
      <c r="I731" s="54" t="s">
        <v>19</v>
      </c>
      <c r="J731" s="54" t="s">
        <v>19</v>
      </c>
      <c r="K731" s="52" t="str">
        <f t="shared" ref="K731:K790" si="49">K730</f>
        <v>International</v>
      </c>
      <c r="M731" s="55"/>
    </row>
    <row r="732">
      <c r="A732" s="29" t="str">
        <f>IFERROR(__xludf.DUMMYFUNCTION("""COMPUTED_VALUE"""),"exposure setting international menu")</f>
        <v>exposure setting international menu</v>
      </c>
      <c r="B732" s="50" t="str">
        <f>IFERROR(__xludf.DUMMYFUNCTION("""COMPUTED_VALUE"""),"                    ")</f>
        <v>                    </v>
      </c>
      <c r="C732" s="29"/>
      <c r="D732" s="29" t="str">
        <f>IFERROR(__xludf.DUMMYFUNCTION("""COMPUTED_VALUE"""),"")</f>
        <v/>
      </c>
      <c r="E732" s="29"/>
      <c r="F732" s="29"/>
      <c r="G732" s="29"/>
      <c r="H732" s="54" t="s">
        <v>19</v>
      </c>
      <c r="I732" s="54" t="s">
        <v>19</v>
      </c>
      <c r="J732" s="54" t="s">
        <v>19</v>
      </c>
      <c r="K732" s="52" t="str">
        <f t="shared" si="49"/>
        <v>International</v>
      </c>
      <c r="M732" s="55"/>
    </row>
    <row r="733">
      <c r="A733" s="29"/>
      <c r="B733" s="50" t="str">
        <f>IFERROR(__xludf.DUMMYFUNCTION("""COMPUTED_VALUE"""),"Human Exposure [ECTO:3000005]                    ")</f>
        <v>Human Exposure [ECTO:3000005]                    </v>
      </c>
      <c r="C733" s="29" t="str">
        <f>IFERROR(__xludf.DUMMYFUNCTION("""COMPUTED_VALUE"""),"ECTO:3000005")</f>
        <v>ECTO:3000005</v>
      </c>
      <c r="D733" s="29" t="str">
        <f>IFERROR(__xludf.DUMMYFUNCTION("""COMPUTED_VALUE"""),"A history of exposure to Homo sapiens.")</f>
        <v>A history of exposure to Homo sapiens.</v>
      </c>
      <c r="E733" s="29"/>
      <c r="F733" s="29"/>
      <c r="G733" s="29"/>
      <c r="H733" s="54" t="s">
        <v>19</v>
      </c>
      <c r="I733" s="54" t="s">
        <v>19</v>
      </c>
      <c r="J733" s="54" t="s">
        <v>19</v>
      </c>
      <c r="K733" s="52" t="str">
        <f t="shared" si="49"/>
        <v>International</v>
      </c>
      <c r="M733" s="55"/>
    </row>
    <row r="734">
      <c r="A734" s="29"/>
      <c r="B734" s="50" t="str">
        <f>IFERROR(__xludf.DUMMYFUNCTION("""COMPUTED_VALUE"""),"     Contact with Known Monkeypox Case [GENEPIO:0100501]               ")</f>
        <v>     Contact with Known Monkeypox Case [GENEPIO:0100501]               </v>
      </c>
      <c r="C734" s="29" t="str">
        <f>IFERROR(__xludf.DUMMYFUNCTION("""COMPUTED_VALUE"""),"GENEPIO:0100501")</f>
        <v>GENEPIO:0100501</v>
      </c>
      <c r="D734"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34" s="29"/>
      <c r="F734" s="29"/>
      <c r="G734" s="29"/>
      <c r="H734" s="54" t="s">
        <v>19</v>
      </c>
      <c r="I734" s="54" t="s">
        <v>19</v>
      </c>
      <c r="J734" s="54" t="s">
        <v>19</v>
      </c>
      <c r="K734" s="52" t="str">
        <f t="shared" si="49"/>
        <v>International</v>
      </c>
      <c r="M734" s="55"/>
    </row>
    <row r="735">
      <c r="A735" s="29"/>
      <c r="B735" s="50" t="str">
        <f>IFERROR(__xludf.DUMMYFUNCTION("""COMPUTED_VALUE"""),"     Contact with Patient [GENEPIO:0100185]               ")</f>
        <v>     Contact with Patient [GENEPIO:0100185]               </v>
      </c>
      <c r="C735" s="29" t="str">
        <f>IFERROR(__xludf.DUMMYFUNCTION("""COMPUTED_VALUE"""),"GENEPIO:0100185")</f>
        <v>GENEPIO:0100185</v>
      </c>
      <c r="D735"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35" s="29"/>
      <c r="F735" s="29"/>
      <c r="G735" s="29"/>
      <c r="H735" s="54" t="s">
        <v>19</v>
      </c>
      <c r="I735" s="54" t="s">
        <v>19</v>
      </c>
      <c r="J735" s="54" t="s">
        <v>19</v>
      </c>
      <c r="K735" s="52" t="str">
        <f t="shared" si="49"/>
        <v>International</v>
      </c>
      <c r="M735" s="55"/>
    </row>
    <row r="736">
      <c r="A736" s="29"/>
      <c r="B736" s="50" t="str">
        <f>IFERROR(__xludf.DUMMYFUNCTION("""COMPUTED_VALUE"""),"     Contact with Probable Monkeypox Case [GENEPIO:0100502]               ")</f>
        <v>     Contact with Probable Monkeypox Case [GENEPIO:0100502]               </v>
      </c>
      <c r="C736" s="29" t="str">
        <f>IFERROR(__xludf.DUMMYFUNCTION("""COMPUTED_VALUE"""),"GENEPIO:0100502")</f>
        <v>GENEPIO:0100502</v>
      </c>
      <c r="D736"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36" s="29"/>
      <c r="F736" s="29"/>
      <c r="G736" s="29"/>
      <c r="H736" s="54" t="s">
        <v>19</v>
      </c>
      <c r="I736" s="54" t="s">
        <v>19</v>
      </c>
      <c r="J736" s="54" t="s">
        <v>19</v>
      </c>
      <c r="K736" s="52" t="str">
        <f t="shared" si="49"/>
        <v>International</v>
      </c>
      <c r="M736" s="55"/>
    </row>
    <row r="737">
      <c r="A737" s="29"/>
      <c r="B737" s="50" t="str">
        <f>IFERROR(__xludf.DUMMYFUNCTION("""COMPUTED_VALUE"""),"     Contact with Person who Recently Travelled [GENEPIO:0100189]               ")</f>
        <v>     Contact with Person who Recently Travelled [GENEPIO:0100189]               </v>
      </c>
      <c r="C737" s="29" t="str">
        <f>IFERROR(__xludf.DUMMYFUNCTION("""COMPUTED_VALUE"""),"GENEPIO:0100189")</f>
        <v>GENEPIO:0100189</v>
      </c>
      <c r="D737"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37" s="29"/>
      <c r="F737" s="29"/>
      <c r="G737" s="29"/>
      <c r="H737" s="54" t="s">
        <v>19</v>
      </c>
      <c r="I737" s="54" t="s">
        <v>19</v>
      </c>
      <c r="J737" s="54" t="s">
        <v>19</v>
      </c>
      <c r="K737" s="52" t="str">
        <f t="shared" si="49"/>
        <v>International</v>
      </c>
      <c r="M737" s="55"/>
    </row>
    <row r="738">
      <c r="A738" s="29"/>
      <c r="B738" s="50" t="str">
        <f>IFERROR(__xludf.DUMMYFUNCTION("""COMPUTED_VALUE"""),"Occupational, Residency or Patronage Exposure [GENEPIO:0100190]                    ")</f>
        <v>Occupational, Residency or Patronage Exposure [GENEPIO:0100190]                    </v>
      </c>
      <c r="C738" s="29" t="str">
        <f>IFERROR(__xludf.DUMMYFUNCTION("""COMPUTED_VALUE"""),"GENEPIO:0100190")</f>
        <v>GENEPIO:0100190</v>
      </c>
      <c r="D738"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38" s="29"/>
      <c r="F738" s="29"/>
      <c r="G738" s="29"/>
      <c r="H738" s="54" t="s">
        <v>19</v>
      </c>
      <c r="I738" s="54" t="s">
        <v>19</v>
      </c>
      <c r="J738" s="54" t="s">
        <v>19</v>
      </c>
      <c r="K738" s="52" t="str">
        <f t="shared" si="49"/>
        <v>International</v>
      </c>
      <c r="M738" s="55"/>
    </row>
    <row r="739">
      <c r="A739" s="29"/>
      <c r="B739" s="50" t="str">
        <f>IFERROR(__xludf.DUMMYFUNCTION("""COMPUTED_VALUE"""),"     Abbatoir [ECTO:1000033]               ")</f>
        <v>     Abbatoir [ECTO:1000033]               </v>
      </c>
      <c r="C739" s="29" t="str">
        <f>IFERROR(__xludf.DUMMYFUNCTION("""COMPUTED_VALUE"""),"ECTO:1000033")</f>
        <v>ECTO:1000033</v>
      </c>
      <c r="D739" s="29" t="str">
        <f>IFERROR(__xludf.DUMMYFUNCTION("""COMPUTED_VALUE"""),"A exposure event involving the interaction of an exposure receptor to abattoir.")</f>
        <v>A exposure event involving the interaction of an exposure receptor to abattoir.</v>
      </c>
      <c r="E739" s="29"/>
      <c r="F739" s="29"/>
      <c r="G739" s="29"/>
      <c r="H739" s="54" t="s">
        <v>19</v>
      </c>
      <c r="I739" s="54" t="s">
        <v>19</v>
      </c>
      <c r="J739" s="54" t="s">
        <v>19</v>
      </c>
      <c r="K739" s="52" t="str">
        <f t="shared" si="49"/>
        <v>International</v>
      </c>
      <c r="M739" s="55"/>
    </row>
    <row r="740">
      <c r="A740" s="29"/>
      <c r="B740" s="50" t="str">
        <f>IFERROR(__xludf.DUMMYFUNCTION("""COMPUTED_VALUE"""),"     Animal Rescue [GENEPIO:0100191]               ")</f>
        <v>     Animal Rescue [GENEPIO:0100191]               </v>
      </c>
      <c r="C740" s="29" t="str">
        <f>IFERROR(__xludf.DUMMYFUNCTION("""COMPUTED_VALUE"""),"GENEPIO:0100191")</f>
        <v>GENEPIO:0100191</v>
      </c>
      <c r="D740"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40" s="29"/>
      <c r="F740" s="29"/>
      <c r="G740" s="29"/>
      <c r="H740" s="54" t="s">
        <v>19</v>
      </c>
      <c r="I740" s="54" t="s">
        <v>19</v>
      </c>
      <c r="J740" s="54" t="s">
        <v>19</v>
      </c>
      <c r="K740" s="52" t="str">
        <f t="shared" si="49"/>
        <v>International</v>
      </c>
      <c r="M740" s="55"/>
    </row>
    <row r="741">
      <c r="A741" s="29"/>
      <c r="B741" s="50" t="str">
        <f>IFERROR(__xludf.DUMMYFUNCTION("""COMPUTED_VALUE"""),"     Bar (pub) [GENEPIO:0100503]               ")</f>
        <v>     Bar (pub) [GENEPIO:0100503]               </v>
      </c>
      <c r="C741" s="29" t="str">
        <f>IFERROR(__xludf.DUMMYFUNCTION("""COMPUTED_VALUE"""),"GENEPIO:0100503")</f>
        <v>GENEPIO:0100503</v>
      </c>
      <c r="D741"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E741" s="29"/>
      <c r="F741" s="29"/>
      <c r="G741" s="29"/>
      <c r="H741" s="54" t="s">
        <v>19</v>
      </c>
      <c r="I741" s="54" t="s">
        <v>19</v>
      </c>
      <c r="J741" s="54" t="s">
        <v>19</v>
      </c>
      <c r="K741" s="52" t="str">
        <f t="shared" si="49"/>
        <v>International</v>
      </c>
      <c r="M741" s="55"/>
    </row>
    <row r="742">
      <c r="A742" s="29"/>
      <c r="B742" s="50" t="str">
        <f>IFERROR(__xludf.DUMMYFUNCTION("""COMPUTED_VALUE"""),"     Childcare [GENEPIO:0100192]               ")</f>
        <v>     Childcare [GENEPIO:0100192]               </v>
      </c>
      <c r="C742" s="29" t="str">
        <f>IFERROR(__xludf.DUMMYFUNCTION("""COMPUTED_VALUE"""),"GENEPIO:0100192")</f>
        <v>GENEPIO:0100192</v>
      </c>
      <c r="D742"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42" s="29"/>
      <c r="F742" s="29"/>
      <c r="G742" s="29"/>
      <c r="H742" s="54" t="s">
        <v>19</v>
      </c>
      <c r="I742" s="54" t="s">
        <v>19</v>
      </c>
      <c r="J742" s="54" t="s">
        <v>19</v>
      </c>
      <c r="K742" s="52" t="str">
        <f t="shared" si="49"/>
        <v>International</v>
      </c>
      <c r="M742" s="55"/>
    </row>
    <row r="743">
      <c r="A743" s="29"/>
      <c r="B743" s="50" t="str">
        <f>IFERROR(__xludf.DUMMYFUNCTION("""COMPUTED_VALUE"""),"          Daycare [GENEPIO:0100193]          ")</f>
        <v>          Daycare [GENEPIO:0100193]          </v>
      </c>
      <c r="C743" s="29" t="str">
        <f>IFERROR(__xludf.DUMMYFUNCTION("""COMPUTED_VALUE"""),"GENEPIO:0100193")</f>
        <v>GENEPIO:0100193</v>
      </c>
      <c r="D743"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43" s="29"/>
      <c r="F743" s="29"/>
      <c r="G743" s="29"/>
      <c r="H743" s="54" t="s">
        <v>19</v>
      </c>
      <c r="I743" s="54" t="s">
        <v>19</v>
      </c>
      <c r="J743" s="54" t="s">
        <v>19</v>
      </c>
      <c r="K743" s="52" t="str">
        <f t="shared" si="49"/>
        <v>International</v>
      </c>
      <c r="M743" s="55"/>
    </row>
    <row r="744">
      <c r="A744" s="29"/>
      <c r="B744" s="50" t="str">
        <f>IFERROR(__xludf.DUMMYFUNCTION("""COMPUTED_VALUE"""),"          Nursery [GENEPIO:0100194]          ")</f>
        <v>          Nursery [GENEPIO:0100194]          </v>
      </c>
      <c r="C744" s="29" t="str">
        <f>IFERROR(__xludf.DUMMYFUNCTION("""COMPUTED_VALUE"""),"GENEPIO:0100194")</f>
        <v>GENEPIO:0100194</v>
      </c>
      <c r="D744"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44" s="29"/>
      <c r="F744" s="29"/>
      <c r="G744" s="29"/>
      <c r="H744" s="54" t="s">
        <v>19</v>
      </c>
      <c r="I744" s="54" t="s">
        <v>19</v>
      </c>
      <c r="J744" s="54" t="s">
        <v>19</v>
      </c>
      <c r="K744" s="52" t="str">
        <f t="shared" si="49"/>
        <v>International</v>
      </c>
      <c r="M744" s="55"/>
    </row>
    <row r="745">
      <c r="A745" s="29"/>
      <c r="B745" s="50" t="str">
        <f>IFERROR(__xludf.DUMMYFUNCTION("""COMPUTED_VALUE"""),"     Community Service Centre [GENEPIO:0100195]               ")</f>
        <v>     Community Service Centre [GENEPIO:0100195]               </v>
      </c>
      <c r="C745" s="29" t="str">
        <f>IFERROR(__xludf.DUMMYFUNCTION("""COMPUTED_VALUE"""),"GENEPIO:0100195")</f>
        <v>GENEPIO:0100195</v>
      </c>
      <c r="D745"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45" s="29"/>
      <c r="F745" s="29"/>
      <c r="G745" s="29"/>
      <c r="H745" s="54" t="s">
        <v>19</v>
      </c>
      <c r="I745" s="54" t="s">
        <v>19</v>
      </c>
      <c r="J745" s="54" t="s">
        <v>19</v>
      </c>
      <c r="K745" s="52" t="str">
        <f t="shared" si="49"/>
        <v>International</v>
      </c>
      <c r="M745" s="55"/>
    </row>
    <row r="746">
      <c r="A746" s="29"/>
      <c r="B746" s="50" t="str">
        <f>IFERROR(__xludf.DUMMYFUNCTION("""COMPUTED_VALUE"""),"     Correctional Facility [GENEPIO:0100196]               ")</f>
        <v>     Correctional Facility [GENEPIO:0100196]               </v>
      </c>
      <c r="C746" s="29" t="str">
        <f>IFERROR(__xludf.DUMMYFUNCTION("""COMPUTED_VALUE"""),"GENEPIO:0100196")</f>
        <v>GENEPIO:0100196</v>
      </c>
      <c r="D746"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46" s="29"/>
      <c r="F746" s="29"/>
      <c r="G746" s="29"/>
      <c r="H746" s="54" t="s">
        <v>19</v>
      </c>
      <c r="I746" s="54" t="s">
        <v>19</v>
      </c>
      <c r="J746" s="54" t="s">
        <v>19</v>
      </c>
      <c r="K746" s="52" t="str">
        <f t="shared" si="49"/>
        <v>International</v>
      </c>
      <c r="M746" s="55"/>
    </row>
    <row r="747">
      <c r="A747" s="29"/>
      <c r="B747" s="50" t="str">
        <f>IFERROR(__xludf.DUMMYFUNCTION("""COMPUTED_VALUE"""),"     Dormitory [GENEPIO:0100197]               ")</f>
        <v>     Dormitory [GENEPIO:0100197]               </v>
      </c>
      <c r="C747" s="29" t="str">
        <f>IFERROR(__xludf.DUMMYFUNCTION("""COMPUTED_VALUE"""),"GENEPIO:0100197")</f>
        <v>GENEPIO:0100197</v>
      </c>
      <c r="D747"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47" s="29"/>
      <c r="F747" s="29"/>
      <c r="G747" s="29"/>
      <c r="H747" s="54" t="s">
        <v>19</v>
      </c>
      <c r="I747" s="54" t="s">
        <v>19</v>
      </c>
      <c r="J747" s="54" t="s">
        <v>19</v>
      </c>
      <c r="K747" s="52" t="str">
        <f t="shared" si="49"/>
        <v>International</v>
      </c>
      <c r="M747" s="55"/>
    </row>
    <row r="748">
      <c r="A748" s="29"/>
      <c r="B748" s="50" t="str">
        <f>IFERROR(__xludf.DUMMYFUNCTION("""COMPUTED_VALUE"""),"     Farm [ECTO:1000034]               ")</f>
        <v>     Farm [ECTO:1000034]               </v>
      </c>
      <c r="C748" s="29" t="str">
        <f>IFERROR(__xludf.DUMMYFUNCTION("""COMPUTED_VALUE"""),"ECTO:1000034")</f>
        <v>ECTO:1000034</v>
      </c>
      <c r="D748" s="29" t="str">
        <f>IFERROR(__xludf.DUMMYFUNCTION("""COMPUTED_VALUE"""),"A exposure event involving the interaction of an exposure receptor to farm")</f>
        <v>A exposure event involving the interaction of an exposure receptor to farm</v>
      </c>
      <c r="E748" s="29"/>
      <c r="F748" s="29"/>
      <c r="G748" s="29"/>
      <c r="H748" s="54" t="s">
        <v>19</v>
      </c>
      <c r="I748" s="54" t="s">
        <v>19</v>
      </c>
      <c r="J748" s="54" t="s">
        <v>19</v>
      </c>
      <c r="K748" s="52" t="str">
        <f t="shared" si="49"/>
        <v>International</v>
      </c>
      <c r="M748" s="55"/>
    </row>
    <row r="749">
      <c r="A749" s="29"/>
      <c r="B749" s="50" t="str">
        <f>IFERROR(__xludf.DUMMYFUNCTION("""COMPUTED_VALUE"""),"     First Nations Reserve [GENEPIO:0100198]               ")</f>
        <v>     First Nations Reserve [GENEPIO:0100198]               </v>
      </c>
      <c r="C749" s="29" t="str">
        <f>IFERROR(__xludf.DUMMYFUNCTION("""COMPUTED_VALUE"""),"GENEPIO:0100198")</f>
        <v>GENEPIO:0100198</v>
      </c>
      <c r="D749"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49" s="29"/>
      <c r="F749" s="29"/>
      <c r="G749" s="29"/>
      <c r="H749" s="54" t="s">
        <v>19</v>
      </c>
      <c r="I749" s="54" t="s">
        <v>19</v>
      </c>
      <c r="J749" s="54" t="s">
        <v>19</v>
      </c>
      <c r="K749" s="52" t="str">
        <f t="shared" si="49"/>
        <v>International</v>
      </c>
      <c r="M749" s="55"/>
    </row>
    <row r="750">
      <c r="A750" s="29"/>
      <c r="B750" s="50" t="str">
        <f>IFERROR(__xludf.DUMMYFUNCTION("""COMPUTED_VALUE"""),"     Funeral Home [GENEPIO:0100199]               ")</f>
        <v>     Funeral Home [GENEPIO:0100199]               </v>
      </c>
      <c r="C750" s="29" t="str">
        <f>IFERROR(__xludf.DUMMYFUNCTION("""COMPUTED_VALUE"""),"GENEPIO:0100199")</f>
        <v>GENEPIO:0100199</v>
      </c>
      <c r="D750"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50" s="29"/>
      <c r="F750" s="29"/>
      <c r="G750" s="29"/>
      <c r="H750" s="54" t="s">
        <v>19</v>
      </c>
      <c r="I750" s="54" t="s">
        <v>19</v>
      </c>
      <c r="J750" s="54" t="s">
        <v>19</v>
      </c>
      <c r="K750" s="52" t="str">
        <f t="shared" si="49"/>
        <v>International</v>
      </c>
      <c r="M750" s="55"/>
    </row>
    <row r="751">
      <c r="A751" s="29"/>
      <c r="B751" s="50" t="str">
        <f>IFERROR(__xludf.DUMMYFUNCTION("""COMPUTED_VALUE"""),"     Group Home [GENEPIO:0100200]               ")</f>
        <v>     Group Home [GENEPIO:0100200]               </v>
      </c>
      <c r="C751" s="29" t="str">
        <f>IFERROR(__xludf.DUMMYFUNCTION("""COMPUTED_VALUE"""),"GENEPIO:0100200")</f>
        <v>GENEPIO:0100200</v>
      </c>
      <c r="D751"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51" s="29"/>
      <c r="F751" s="29"/>
      <c r="G751" s="29"/>
      <c r="H751" s="54" t="s">
        <v>19</v>
      </c>
      <c r="I751" s="54" t="s">
        <v>19</v>
      </c>
      <c r="J751" s="54" t="s">
        <v>19</v>
      </c>
      <c r="K751" s="52" t="str">
        <f t="shared" si="49"/>
        <v>International</v>
      </c>
      <c r="M751" s="55"/>
    </row>
    <row r="752">
      <c r="A752" s="29"/>
      <c r="B752" s="50" t="str">
        <f>IFERROR(__xludf.DUMMYFUNCTION("""COMPUTED_VALUE"""),"     Healthcare Setting [GENEPIO:0100201]               ")</f>
        <v>     Healthcare Setting [GENEPIO:0100201]               </v>
      </c>
      <c r="C752" s="29" t="str">
        <f>IFERROR(__xludf.DUMMYFUNCTION("""COMPUTED_VALUE"""),"GENEPIO:0100201")</f>
        <v>GENEPIO:0100201</v>
      </c>
      <c r="D752"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52" s="29"/>
      <c r="F752" s="29"/>
      <c r="G752" s="29"/>
      <c r="H752" s="54" t="s">
        <v>19</v>
      </c>
      <c r="I752" s="54" t="s">
        <v>19</v>
      </c>
      <c r="J752" s="54" t="s">
        <v>19</v>
      </c>
      <c r="K752" s="52" t="str">
        <f t="shared" si="49"/>
        <v>International</v>
      </c>
      <c r="M752" s="55"/>
    </row>
    <row r="753">
      <c r="A753" s="29"/>
      <c r="B753" s="50" t="str">
        <f>IFERROR(__xludf.DUMMYFUNCTION("""COMPUTED_VALUE"""),"          Ambulance [GENEPIO:0100202]          ")</f>
        <v>          Ambulance [GENEPIO:0100202]          </v>
      </c>
      <c r="C753" s="29" t="str">
        <f>IFERROR(__xludf.DUMMYFUNCTION("""COMPUTED_VALUE"""),"GENEPIO:0100202")</f>
        <v>GENEPIO:0100202</v>
      </c>
      <c r="D753"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53" s="29"/>
      <c r="F753" s="29"/>
      <c r="G753" s="29"/>
      <c r="H753" s="54" t="s">
        <v>19</v>
      </c>
      <c r="I753" s="54" t="s">
        <v>19</v>
      </c>
      <c r="J753" s="54" t="s">
        <v>19</v>
      </c>
      <c r="K753" s="52" t="str">
        <f t="shared" si="49"/>
        <v>International</v>
      </c>
      <c r="M753" s="55"/>
    </row>
    <row r="754">
      <c r="A754" s="29"/>
      <c r="B754" s="50" t="str">
        <f>IFERROR(__xludf.DUMMYFUNCTION("""COMPUTED_VALUE"""),"          Acute Care Facility [GENEPIO:0100203]          ")</f>
        <v>          Acute Care Facility [GENEPIO:0100203]          </v>
      </c>
      <c r="C754" s="29" t="str">
        <f>IFERROR(__xludf.DUMMYFUNCTION("""COMPUTED_VALUE"""),"GENEPIO:0100203")</f>
        <v>GENEPIO:0100203</v>
      </c>
      <c r="D754"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54" s="29"/>
      <c r="F754" s="29"/>
      <c r="G754" s="29"/>
      <c r="H754" s="54" t="s">
        <v>19</v>
      </c>
      <c r="I754" s="54" t="s">
        <v>19</v>
      </c>
      <c r="J754" s="54" t="s">
        <v>19</v>
      </c>
      <c r="K754" s="52" t="str">
        <f t="shared" si="49"/>
        <v>International</v>
      </c>
      <c r="M754" s="55"/>
    </row>
    <row r="755">
      <c r="A755" s="29"/>
      <c r="B755" s="50" t="str">
        <f>IFERROR(__xludf.DUMMYFUNCTION("""COMPUTED_VALUE"""),"          Clinic [GENEPIO:0100204]          ")</f>
        <v>          Clinic [GENEPIO:0100204]          </v>
      </c>
      <c r="C755" s="29" t="str">
        <f>IFERROR(__xludf.DUMMYFUNCTION("""COMPUTED_VALUE"""),"GENEPIO:0100204")</f>
        <v>GENEPIO:0100204</v>
      </c>
      <c r="D755"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55" s="29"/>
      <c r="F755" s="29"/>
      <c r="G755" s="29"/>
      <c r="H755" s="54" t="s">
        <v>19</v>
      </c>
      <c r="I755" s="54" t="s">
        <v>19</v>
      </c>
      <c r="J755" s="54" t="s">
        <v>19</v>
      </c>
      <c r="K755" s="52" t="str">
        <f t="shared" si="49"/>
        <v>International</v>
      </c>
      <c r="M755" s="55"/>
    </row>
    <row r="756">
      <c r="A756" s="29"/>
      <c r="B756" s="50" t="str">
        <f>IFERROR(__xludf.DUMMYFUNCTION("""COMPUTED_VALUE"""),"          Community Healthcare (At-Home) Setting [GENEPIO:0100415]          ")</f>
        <v>          Community Healthcare (At-Home) Setting [GENEPIO:0100415]          </v>
      </c>
      <c r="C756" s="29" t="str">
        <f>IFERROR(__xludf.DUMMYFUNCTION("""COMPUTED_VALUE"""),"GENEPIO:0100415")</f>
        <v>GENEPIO:0100415</v>
      </c>
      <c r="D756"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56" s="29"/>
      <c r="F756" s="29"/>
      <c r="G756" s="29"/>
      <c r="H756" s="54" t="s">
        <v>19</v>
      </c>
      <c r="I756" s="54" t="s">
        <v>19</v>
      </c>
      <c r="J756" s="54" t="s">
        <v>19</v>
      </c>
      <c r="K756" s="52" t="str">
        <f t="shared" si="49"/>
        <v>International</v>
      </c>
      <c r="M756" s="55"/>
    </row>
    <row r="757">
      <c r="A757" s="29"/>
      <c r="B757" s="50" t="str">
        <f>IFERROR(__xludf.DUMMYFUNCTION("""COMPUTED_VALUE"""),"          Community Health Centre [GENEPIO:0100205]          ")</f>
        <v>          Community Health Centre [GENEPIO:0100205]          </v>
      </c>
      <c r="C757" s="29" t="str">
        <f>IFERROR(__xludf.DUMMYFUNCTION("""COMPUTED_VALUE"""),"GENEPIO:0100205")</f>
        <v>GENEPIO:0100205</v>
      </c>
      <c r="D757"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57" s="29"/>
      <c r="F757" s="29"/>
      <c r="G757" s="29"/>
      <c r="H757" s="54" t="s">
        <v>19</v>
      </c>
      <c r="I757" s="54" t="s">
        <v>19</v>
      </c>
      <c r="J757" s="54" t="s">
        <v>19</v>
      </c>
      <c r="K757" s="52" t="str">
        <f t="shared" si="49"/>
        <v>International</v>
      </c>
      <c r="M757" s="55"/>
    </row>
    <row r="758">
      <c r="A758" s="29"/>
      <c r="B758" s="50" t="str">
        <f>IFERROR(__xludf.DUMMYFUNCTION("""COMPUTED_VALUE"""),"          Hospital [ECTO:1000035]          ")</f>
        <v>          Hospital [ECTO:1000035]          </v>
      </c>
      <c r="C758" s="29" t="str">
        <f>IFERROR(__xludf.DUMMYFUNCTION("""COMPUTED_VALUE"""),"ECTO:1000035")</f>
        <v>ECTO:1000035</v>
      </c>
      <c r="D758" s="29" t="str">
        <f>IFERROR(__xludf.DUMMYFUNCTION("""COMPUTED_VALUE"""),"A exposure event involving the interaction of an exposure receptor to hospital.")</f>
        <v>A exposure event involving the interaction of an exposure receptor to hospital.</v>
      </c>
      <c r="E758" s="29"/>
      <c r="F758" s="29"/>
      <c r="G758" s="29"/>
      <c r="H758" s="54" t="s">
        <v>19</v>
      </c>
      <c r="I758" s="54" t="s">
        <v>19</v>
      </c>
      <c r="J758" s="54" t="s">
        <v>19</v>
      </c>
      <c r="K758" s="52" t="str">
        <f t="shared" si="49"/>
        <v>International</v>
      </c>
      <c r="M758" s="55"/>
    </row>
    <row r="759">
      <c r="A759" s="29"/>
      <c r="B759" s="50" t="str">
        <f>IFERROR(__xludf.DUMMYFUNCTION("""COMPUTED_VALUE"""),"               Emergency Department [GENEPIO:0100206]     ")</f>
        <v>               Emergency Department [GENEPIO:0100206]     </v>
      </c>
      <c r="C759" s="29" t="str">
        <f>IFERROR(__xludf.DUMMYFUNCTION("""COMPUTED_VALUE"""),"GENEPIO:0100206")</f>
        <v>GENEPIO:0100206</v>
      </c>
      <c r="D759"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59" s="29"/>
      <c r="F759" s="29"/>
      <c r="G759" s="29"/>
      <c r="H759" s="54" t="s">
        <v>19</v>
      </c>
      <c r="I759" s="54" t="s">
        <v>19</v>
      </c>
      <c r="J759" s="54" t="s">
        <v>19</v>
      </c>
      <c r="K759" s="52" t="str">
        <f t="shared" si="49"/>
        <v>International</v>
      </c>
      <c r="M759" s="55"/>
    </row>
    <row r="760">
      <c r="A760" s="29"/>
      <c r="B760" s="50" t="str">
        <f>IFERROR(__xludf.DUMMYFUNCTION("""COMPUTED_VALUE"""),"               ICU [GENEPIO:0100207]     ")</f>
        <v>               ICU [GENEPIO:0100207]     </v>
      </c>
      <c r="C760" s="29" t="str">
        <f>IFERROR(__xludf.DUMMYFUNCTION("""COMPUTED_VALUE"""),"GENEPIO:0100207")</f>
        <v>GENEPIO:0100207</v>
      </c>
      <c r="D760"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60" s="29"/>
      <c r="F760" s="29"/>
      <c r="G760" s="29"/>
      <c r="H760" s="54" t="s">
        <v>19</v>
      </c>
      <c r="I760" s="54" t="s">
        <v>19</v>
      </c>
      <c r="J760" s="54" t="s">
        <v>19</v>
      </c>
      <c r="K760" s="52" t="str">
        <f t="shared" si="49"/>
        <v>International</v>
      </c>
      <c r="M760" s="55"/>
    </row>
    <row r="761">
      <c r="A761" s="29"/>
      <c r="B761" s="50" t="str">
        <f>IFERROR(__xludf.DUMMYFUNCTION("""COMPUTED_VALUE"""),"               Ward [GENEPIO:0100208]     ")</f>
        <v>               Ward [GENEPIO:0100208]     </v>
      </c>
      <c r="C761" s="29" t="str">
        <f>IFERROR(__xludf.DUMMYFUNCTION("""COMPUTED_VALUE"""),"GENEPIO:0100208")</f>
        <v>GENEPIO:0100208</v>
      </c>
      <c r="D761"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61" s="29"/>
      <c r="F761" s="29"/>
      <c r="G761" s="29"/>
      <c r="H761" s="54" t="s">
        <v>19</v>
      </c>
      <c r="I761" s="54" t="s">
        <v>19</v>
      </c>
      <c r="J761" s="54" t="s">
        <v>19</v>
      </c>
      <c r="K761" s="52" t="str">
        <f t="shared" si="49"/>
        <v>International</v>
      </c>
      <c r="M761" s="55"/>
    </row>
    <row r="762">
      <c r="A762" s="29"/>
      <c r="B762" s="50" t="str">
        <f>IFERROR(__xludf.DUMMYFUNCTION("""COMPUTED_VALUE"""),"          Laboratory [ECTO:1000036]          ")</f>
        <v>          Laboratory [ECTO:1000036]          </v>
      </c>
      <c r="C762" s="29" t="str">
        <f>IFERROR(__xludf.DUMMYFUNCTION("""COMPUTED_VALUE"""),"ECTO:1000036")</f>
        <v>ECTO:1000036</v>
      </c>
      <c r="D762" s="29" t="str">
        <f>IFERROR(__xludf.DUMMYFUNCTION("""COMPUTED_VALUE"""),"A exposure event involving the interaction of an exposure receptor to laboratory facility.")</f>
        <v>A exposure event involving the interaction of an exposure receptor to laboratory facility.</v>
      </c>
      <c r="E762" s="29"/>
      <c r="F762" s="29"/>
      <c r="G762" s="29"/>
      <c r="H762" s="54" t="s">
        <v>19</v>
      </c>
      <c r="I762" s="54" t="s">
        <v>19</v>
      </c>
      <c r="J762" s="54" t="s">
        <v>19</v>
      </c>
      <c r="K762" s="52" t="str">
        <f t="shared" si="49"/>
        <v>International</v>
      </c>
      <c r="M762" s="55"/>
    </row>
    <row r="763">
      <c r="A763" s="29"/>
      <c r="B763" s="50" t="str">
        <f>IFERROR(__xludf.DUMMYFUNCTION("""COMPUTED_VALUE"""),"          Long-Term Care Facility [GENEPIO:0100209]          ")</f>
        <v>          Long-Term Care Facility [GENEPIO:0100209]          </v>
      </c>
      <c r="C763" s="29" t="str">
        <f>IFERROR(__xludf.DUMMYFUNCTION("""COMPUTED_VALUE"""),"GENEPIO:0100209")</f>
        <v>GENEPIO:0100209</v>
      </c>
      <c r="D763"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63" s="29"/>
      <c r="F763" s="29"/>
      <c r="G763" s="29"/>
      <c r="H763" s="54" t="s">
        <v>19</v>
      </c>
      <c r="I763" s="54" t="s">
        <v>19</v>
      </c>
      <c r="J763" s="54" t="s">
        <v>19</v>
      </c>
      <c r="K763" s="52" t="str">
        <f t="shared" si="49"/>
        <v>International</v>
      </c>
      <c r="M763" s="55"/>
    </row>
    <row r="764">
      <c r="A764" s="29"/>
      <c r="B764" s="50" t="str">
        <f>IFERROR(__xludf.DUMMYFUNCTION("""COMPUTED_VALUE"""),"          Pharmacy [GENEPIO:0100210]          ")</f>
        <v>          Pharmacy [GENEPIO:0100210]          </v>
      </c>
      <c r="C764" s="29" t="str">
        <f>IFERROR(__xludf.DUMMYFUNCTION("""COMPUTED_VALUE"""),"GENEPIO:0100210")</f>
        <v>GENEPIO:0100210</v>
      </c>
      <c r="D764"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64" s="29"/>
      <c r="F764" s="29"/>
      <c r="G764" s="29"/>
      <c r="H764" s="54" t="s">
        <v>19</v>
      </c>
      <c r="I764" s="54" t="s">
        <v>19</v>
      </c>
      <c r="J764" s="54" t="s">
        <v>19</v>
      </c>
      <c r="K764" s="52" t="str">
        <f t="shared" si="49"/>
        <v>International</v>
      </c>
      <c r="M764" s="55"/>
    </row>
    <row r="765">
      <c r="A765" s="29"/>
      <c r="B765" s="50" t="str">
        <f>IFERROR(__xludf.DUMMYFUNCTION("""COMPUTED_VALUE"""),"          Physician's Office [GENEPIO:0100211]          ")</f>
        <v>          Physician's Office [GENEPIO:0100211]          </v>
      </c>
      <c r="C765" s="29" t="str">
        <f>IFERROR(__xludf.DUMMYFUNCTION("""COMPUTED_VALUE"""),"GENEPIO:0100211")</f>
        <v>GENEPIO:0100211</v>
      </c>
      <c r="D765"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65" s="29"/>
      <c r="F765" s="29"/>
      <c r="G765" s="29"/>
      <c r="H765" s="54" t="s">
        <v>19</v>
      </c>
      <c r="I765" s="54" t="s">
        <v>19</v>
      </c>
      <c r="J765" s="54" t="s">
        <v>19</v>
      </c>
      <c r="K765" s="52" t="str">
        <f t="shared" si="49"/>
        <v>International</v>
      </c>
      <c r="M765" s="55"/>
    </row>
    <row r="766">
      <c r="A766" s="29"/>
      <c r="B766" s="50" t="str">
        <f>IFERROR(__xludf.DUMMYFUNCTION("""COMPUTED_VALUE"""),"     Household [GENEPIO:0100212]               ")</f>
        <v>     Household [GENEPIO:0100212]               </v>
      </c>
      <c r="C766" s="29" t="str">
        <f>IFERROR(__xludf.DUMMYFUNCTION("""COMPUTED_VALUE"""),"GENEPIO:0100212")</f>
        <v>GENEPIO:0100212</v>
      </c>
      <c r="D766"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66" s="29"/>
      <c r="F766" s="29"/>
      <c r="G766" s="29"/>
      <c r="H766" s="54" t="s">
        <v>19</v>
      </c>
      <c r="I766" s="54" t="s">
        <v>19</v>
      </c>
      <c r="J766" s="54" t="s">
        <v>19</v>
      </c>
      <c r="K766" s="52" t="str">
        <f t="shared" si="49"/>
        <v>International</v>
      </c>
      <c r="M766" s="55"/>
    </row>
    <row r="767">
      <c r="A767" s="29"/>
      <c r="B767" s="50" t="str">
        <f>IFERROR(__xludf.DUMMYFUNCTION("""COMPUTED_VALUE"""),"     Insecure Housing (Homeless) [GENEPIO:0100213]               ")</f>
        <v>     Insecure Housing (Homeless) [GENEPIO:0100213]               </v>
      </c>
      <c r="C767" s="29" t="str">
        <f>IFERROR(__xludf.DUMMYFUNCTION("""COMPUTED_VALUE"""),"GENEPIO:0100213")</f>
        <v>GENEPIO:0100213</v>
      </c>
      <c r="D767"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67" s="29"/>
      <c r="F767" s="29"/>
      <c r="G767" s="29"/>
      <c r="H767" s="54" t="s">
        <v>19</v>
      </c>
      <c r="I767" s="54" t="s">
        <v>19</v>
      </c>
      <c r="J767" s="54" t="s">
        <v>19</v>
      </c>
      <c r="K767" s="52" t="str">
        <f t="shared" si="49"/>
        <v>International</v>
      </c>
      <c r="M767" s="55"/>
    </row>
    <row r="768">
      <c r="A768" s="29"/>
      <c r="B768" s="50" t="str">
        <f>IFERROR(__xludf.DUMMYFUNCTION("""COMPUTED_VALUE"""),"     Occupational Exposure [GENEPIO:0100214]               ")</f>
        <v>     Occupational Exposure [GENEPIO:0100214]               </v>
      </c>
      <c r="C768" s="29" t="str">
        <f>IFERROR(__xludf.DUMMYFUNCTION("""COMPUTED_VALUE"""),"GENEPIO:0100214")</f>
        <v>GENEPIO:0100214</v>
      </c>
      <c r="D768"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68" s="29"/>
      <c r="F768" s="29"/>
      <c r="G768" s="29"/>
      <c r="H768" s="54" t="s">
        <v>19</v>
      </c>
      <c r="I768" s="54" t="s">
        <v>19</v>
      </c>
      <c r="J768" s="54" t="s">
        <v>19</v>
      </c>
      <c r="K768" s="52" t="str">
        <f t="shared" si="49"/>
        <v>International</v>
      </c>
      <c r="M768" s="55"/>
    </row>
    <row r="769">
      <c r="A769" s="29"/>
      <c r="B769" s="50" t="str">
        <f>IFERROR(__xludf.DUMMYFUNCTION("""COMPUTED_VALUE"""),"          Worksite [GENEPIO:0100215]          ")</f>
        <v>          Worksite [GENEPIO:0100215]          </v>
      </c>
      <c r="C769" s="29" t="str">
        <f>IFERROR(__xludf.DUMMYFUNCTION("""COMPUTED_VALUE"""),"GENEPIO:0100215")</f>
        <v>GENEPIO:0100215</v>
      </c>
      <c r="D769"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69" s="29"/>
      <c r="F769" s="29"/>
      <c r="G769" s="29"/>
      <c r="H769" s="54" t="s">
        <v>19</v>
      </c>
      <c r="I769" s="54" t="s">
        <v>19</v>
      </c>
      <c r="J769" s="54" t="s">
        <v>19</v>
      </c>
      <c r="K769" s="52" t="str">
        <f t="shared" si="49"/>
        <v>International</v>
      </c>
      <c r="M769" s="55"/>
    </row>
    <row r="770">
      <c r="A770" s="29"/>
      <c r="B770" s="50" t="str">
        <f>IFERROR(__xludf.DUMMYFUNCTION("""COMPUTED_VALUE"""),"               Office [ECTO:1000037]     ")</f>
        <v>               Office [ECTO:1000037]     </v>
      </c>
      <c r="C770" s="29" t="str">
        <f>IFERROR(__xludf.DUMMYFUNCTION("""COMPUTED_VALUE"""),"ECTO:1000037")</f>
        <v>ECTO:1000037</v>
      </c>
      <c r="D770" s="29" t="str">
        <f>IFERROR(__xludf.DUMMYFUNCTION("""COMPUTED_VALUE"""),"A exposure event involving the interaction of an exposure receptor to office.")</f>
        <v>A exposure event involving the interaction of an exposure receptor to office.</v>
      </c>
      <c r="E770" s="29"/>
      <c r="F770" s="29"/>
      <c r="G770" s="29"/>
      <c r="H770" s="54" t="s">
        <v>19</v>
      </c>
      <c r="I770" s="54" t="s">
        <v>19</v>
      </c>
      <c r="J770" s="54" t="s">
        <v>19</v>
      </c>
      <c r="K770" s="52" t="str">
        <f t="shared" si="49"/>
        <v>International</v>
      </c>
      <c r="M770" s="55"/>
    </row>
    <row r="771">
      <c r="A771" s="29"/>
      <c r="B771" s="50" t="str">
        <f>IFERROR(__xludf.DUMMYFUNCTION("""COMPUTED_VALUE"""),"     Outdoors [GENEPIO:0100216]               ")</f>
        <v>     Outdoors [GENEPIO:0100216]               </v>
      </c>
      <c r="C771" s="29" t="str">
        <f>IFERROR(__xludf.DUMMYFUNCTION("""COMPUTED_VALUE"""),"GENEPIO:0100216")</f>
        <v>GENEPIO:0100216</v>
      </c>
      <c r="D771" s="29" t="str">
        <f>IFERROR(__xludf.DUMMYFUNCTION("""COMPUTED_VALUE"""),"A process occuring outdoors that exposes the recipient organism to a material entity.")</f>
        <v>A process occuring outdoors that exposes the recipient organism to a material entity.</v>
      </c>
      <c r="E771" s="29"/>
      <c r="F771" s="29"/>
      <c r="G771" s="29"/>
      <c r="H771" s="54" t="s">
        <v>19</v>
      </c>
      <c r="I771" s="54" t="s">
        <v>19</v>
      </c>
      <c r="J771" s="54" t="s">
        <v>19</v>
      </c>
      <c r="K771" s="52" t="str">
        <f t="shared" si="49"/>
        <v>International</v>
      </c>
      <c r="M771" s="55"/>
    </row>
    <row r="772">
      <c r="A772" s="29"/>
      <c r="B772" s="50" t="str">
        <f>IFERROR(__xludf.DUMMYFUNCTION("""COMPUTED_VALUE"""),"          Camp/camping [ECTO:5000009]          ")</f>
        <v>          Camp/camping [ECTO:5000009]          </v>
      </c>
      <c r="C772" s="29" t="str">
        <f>IFERROR(__xludf.DUMMYFUNCTION("""COMPUTED_VALUE"""),"ECTO:5000009")</f>
        <v>ECTO:5000009</v>
      </c>
      <c r="D772" s="29" t="str">
        <f>IFERROR(__xludf.DUMMYFUNCTION("""COMPUTED_VALUE"""),"A exposure event involving the interaction of an exposure receptor to campground.")</f>
        <v>A exposure event involving the interaction of an exposure receptor to campground.</v>
      </c>
      <c r="E772" s="29"/>
      <c r="F772" s="29"/>
      <c r="G772" s="29"/>
      <c r="H772" s="54" t="s">
        <v>19</v>
      </c>
      <c r="I772" s="54" t="s">
        <v>19</v>
      </c>
      <c r="J772" s="54" t="s">
        <v>19</v>
      </c>
      <c r="K772" s="52" t="str">
        <f t="shared" si="49"/>
        <v>International</v>
      </c>
      <c r="M772" s="55"/>
    </row>
    <row r="773">
      <c r="A773" s="29"/>
      <c r="B773" s="50" t="str">
        <f>IFERROR(__xludf.DUMMYFUNCTION("""COMPUTED_VALUE"""),"          Hiking Trail [GENEPIO:0100217]          ")</f>
        <v>          Hiking Trail [GENEPIO:0100217]          </v>
      </c>
      <c r="C773" s="29" t="str">
        <f>IFERROR(__xludf.DUMMYFUNCTION("""COMPUTED_VALUE"""),"GENEPIO:0100217")</f>
        <v>GENEPIO:0100217</v>
      </c>
      <c r="D773" s="29" t="str">
        <f>IFERROR(__xludf.DUMMYFUNCTION("""COMPUTED_VALUE"""),"A process that exposes the recipient organism to a material entity as a consequence of hiking.")</f>
        <v>A process that exposes the recipient organism to a material entity as a consequence of hiking.</v>
      </c>
      <c r="E773" s="29"/>
      <c r="F773" s="29"/>
      <c r="G773" s="29"/>
      <c r="H773" s="54" t="s">
        <v>19</v>
      </c>
      <c r="I773" s="54" t="s">
        <v>19</v>
      </c>
      <c r="J773" s="54" t="s">
        <v>19</v>
      </c>
      <c r="K773" s="52" t="str">
        <f t="shared" si="49"/>
        <v>International</v>
      </c>
      <c r="M773" s="55"/>
    </row>
    <row r="774">
      <c r="A774" s="53"/>
      <c r="B774" s="50" t="str">
        <f>IFERROR(__xludf.DUMMYFUNCTION("""COMPUTED_VALUE"""),"          Hunting Ground [ECTO:6000030]          ")</f>
        <v>          Hunting Ground [ECTO:6000030]          </v>
      </c>
      <c r="C774" s="53" t="str">
        <f>IFERROR(__xludf.DUMMYFUNCTION("""COMPUTED_VALUE"""),"ECTO:6000030")</f>
        <v>ECTO:6000030</v>
      </c>
      <c r="D774" s="29" t="str">
        <f>IFERROR(__xludf.DUMMYFUNCTION("""COMPUTED_VALUE"""),"An exposure event involving hunting behavior")</f>
        <v>An exposure event involving hunting behavior</v>
      </c>
      <c r="H774" s="54" t="s">
        <v>19</v>
      </c>
      <c r="I774" s="54" t="s">
        <v>19</v>
      </c>
      <c r="J774" s="54" t="s">
        <v>19</v>
      </c>
      <c r="K774" s="52" t="str">
        <f t="shared" si="49"/>
        <v>International</v>
      </c>
      <c r="M774" s="55"/>
    </row>
    <row r="775">
      <c r="A775" s="53"/>
      <c r="B775" s="50" t="str">
        <f>IFERROR(__xludf.DUMMYFUNCTION("""COMPUTED_VALUE"""),"          Ski Resort [GENEPIO:0100218]          ")</f>
        <v>          Ski Resort [GENEPIO:0100218]          </v>
      </c>
      <c r="C775" s="53" t="str">
        <f>IFERROR(__xludf.DUMMYFUNCTION("""COMPUTED_VALUE"""),"GENEPIO:0100218")</f>
        <v>GENEPIO:0100218</v>
      </c>
      <c r="D775"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775" s="52" t="s">
        <v>19</v>
      </c>
      <c r="I775" s="52" t="s">
        <v>19</v>
      </c>
      <c r="J775" s="52" t="s">
        <v>19</v>
      </c>
      <c r="K775" s="52" t="str">
        <f t="shared" si="49"/>
        <v>International</v>
      </c>
      <c r="M775" s="55"/>
    </row>
    <row r="776">
      <c r="A776" s="53"/>
      <c r="B776" s="50" t="str">
        <f>IFERROR(__xludf.DUMMYFUNCTION("""COMPUTED_VALUE"""),"     Petting zoo [ECTO:5000008]               ")</f>
        <v>     Petting zoo [ECTO:5000008]               </v>
      </c>
      <c r="C776" s="53" t="str">
        <f>IFERROR(__xludf.DUMMYFUNCTION("""COMPUTED_VALUE"""),"ECTO:5000008")</f>
        <v>ECTO:5000008</v>
      </c>
      <c r="D776" s="29" t="str">
        <f>IFERROR(__xludf.DUMMYFUNCTION("""COMPUTED_VALUE"""),"A exposure event involving the interaction of an exposure receptor to petting zoo.")</f>
        <v>A exposure event involving the interaction of an exposure receptor to petting zoo.</v>
      </c>
      <c r="H776" s="52" t="s">
        <v>19</v>
      </c>
      <c r="I776" s="52" t="s">
        <v>19</v>
      </c>
      <c r="J776" s="52" t="s">
        <v>19</v>
      </c>
      <c r="K776" s="52" t="str">
        <f t="shared" si="49"/>
        <v>International</v>
      </c>
      <c r="M776" s="55"/>
    </row>
    <row r="777">
      <c r="A777" s="29"/>
      <c r="B777" s="50" t="str">
        <f>IFERROR(__xludf.DUMMYFUNCTION("""COMPUTED_VALUE"""),"     Place of Worship [GENEPIO:0100220]               ")</f>
        <v>     Place of Worship [GENEPIO:0100220]               </v>
      </c>
      <c r="C777" s="29" t="str">
        <f>IFERROR(__xludf.DUMMYFUNCTION("""COMPUTED_VALUE"""),"GENEPIO:0100220")</f>
        <v>GENEPIO:0100220</v>
      </c>
      <c r="D777"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77" s="29"/>
      <c r="F777" s="29"/>
      <c r="G777" s="29"/>
      <c r="H777" s="54" t="s">
        <v>19</v>
      </c>
      <c r="I777" s="54" t="s">
        <v>19</v>
      </c>
      <c r="J777" s="54" t="s">
        <v>19</v>
      </c>
      <c r="K777" s="52" t="str">
        <f t="shared" si="49"/>
        <v>International</v>
      </c>
      <c r="M777" s="55"/>
    </row>
    <row r="778">
      <c r="A778" s="29"/>
      <c r="B778" s="50" t="str">
        <f>IFERROR(__xludf.DUMMYFUNCTION("""COMPUTED_VALUE"""),"          Church [GENEPIO:0100221]          ")</f>
        <v>          Church [GENEPIO:0100221]          </v>
      </c>
      <c r="C778" s="29" t="str">
        <f>IFERROR(__xludf.DUMMYFUNCTION("""COMPUTED_VALUE"""),"GENEPIO:0100221")</f>
        <v>GENEPIO:0100221</v>
      </c>
      <c r="D778"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78" s="29"/>
      <c r="F778" s="29"/>
      <c r="G778" s="29"/>
      <c r="H778" s="54" t="s">
        <v>19</v>
      </c>
      <c r="I778" s="54" t="s">
        <v>19</v>
      </c>
      <c r="J778" s="54" t="s">
        <v>19</v>
      </c>
      <c r="K778" s="52" t="str">
        <f t="shared" si="49"/>
        <v>International</v>
      </c>
      <c r="M778" s="55"/>
    </row>
    <row r="779">
      <c r="A779" s="29"/>
      <c r="B779" s="50" t="str">
        <f>IFERROR(__xludf.DUMMYFUNCTION("""COMPUTED_VALUE"""),"          Mosque [GENEPIO:0100222]          ")</f>
        <v>          Mosque [GENEPIO:0100222]          </v>
      </c>
      <c r="C779" s="29" t="str">
        <f>IFERROR(__xludf.DUMMYFUNCTION("""COMPUTED_VALUE"""),"GENEPIO:0100222")</f>
        <v>GENEPIO:0100222</v>
      </c>
      <c r="D779"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79" s="29"/>
      <c r="F779" s="29"/>
      <c r="G779" s="29"/>
      <c r="H779" s="54" t="s">
        <v>19</v>
      </c>
      <c r="I779" s="54" t="s">
        <v>19</v>
      </c>
      <c r="J779" s="54" t="s">
        <v>19</v>
      </c>
      <c r="K779" s="52" t="str">
        <f t="shared" si="49"/>
        <v>International</v>
      </c>
      <c r="M779" s="55"/>
    </row>
    <row r="780">
      <c r="A780" s="53"/>
      <c r="B780" s="50" t="str">
        <f>IFERROR(__xludf.DUMMYFUNCTION("""COMPUTED_VALUE"""),"          Temple [GENEPIO:0100223]          ")</f>
        <v>          Temple [GENEPIO:0100223]          </v>
      </c>
      <c r="C780" s="53" t="str">
        <f>IFERROR(__xludf.DUMMYFUNCTION("""COMPUTED_VALUE"""),"GENEPIO:0100223")</f>
        <v>GENEPIO:0100223</v>
      </c>
      <c r="D780"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780" s="54" t="s">
        <v>19</v>
      </c>
      <c r="I780" s="54" t="s">
        <v>19</v>
      </c>
      <c r="J780" s="54" t="s">
        <v>19</v>
      </c>
      <c r="K780" s="52" t="str">
        <f t="shared" si="49"/>
        <v>International</v>
      </c>
      <c r="M780" s="55"/>
    </row>
    <row r="781">
      <c r="A781" s="53"/>
      <c r="B781" s="50" t="str">
        <f>IFERROR(__xludf.DUMMYFUNCTION("""COMPUTED_VALUE"""),"     Restaurant [ECTO:1000040]               ")</f>
        <v>     Restaurant [ECTO:1000040]               </v>
      </c>
      <c r="C781" s="53" t="str">
        <f>IFERROR(__xludf.DUMMYFUNCTION("""COMPUTED_VALUE"""),"ECTO:1000040")</f>
        <v>ECTO:1000040</v>
      </c>
      <c r="D781" s="29" t="str">
        <f>IFERROR(__xludf.DUMMYFUNCTION("""COMPUTED_VALUE"""),"A exposure event involving the interaction of an exposure receptor to restaurant.")</f>
        <v>A exposure event involving the interaction of an exposure receptor to restaurant.</v>
      </c>
      <c r="H781" s="52" t="s">
        <v>19</v>
      </c>
      <c r="I781" s="52" t="s">
        <v>19</v>
      </c>
      <c r="J781" s="52" t="s">
        <v>19</v>
      </c>
      <c r="K781" s="52" t="str">
        <f t="shared" si="49"/>
        <v>International</v>
      </c>
      <c r="M781" s="55"/>
    </row>
    <row r="782">
      <c r="A782" s="53"/>
      <c r="B782" s="50" t="str">
        <f>IFERROR(__xludf.DUMMYFUNCTION("""COMPUTED_VALUE"""),"     Retail Store [ECTO:1000041]               ")</f>
        <v>     Retail Store [ECTO:1000041]               </v>
      </c>
      <c r="C782" s="53" t="str">
        <f>IFERROR(__xludf.DUMMYFUNCTION("""COMPUTED_VALUE"""),"ECTO:1000041")</f>
        <v>ECTO:1000041</v>
      </c>
      <c r="D782" s="29" t="str">
        <f>IFERROR(__xludf.DUMMYFUNCTION("""COMPUTED_VALUE"""),"A exposure event involving the interaction of an exposure receptor to shop.")</f>
        <v>A exposure event involving the interaction of an exposure receptor to shop.</v>
      </c>
      <c r="H782" s="52" t="s">
        <v>19</v>
      </c>
      <c r="I782" s="52" t="s">
        <v>19</v>
      </c>
      <c r="J782" s="52" t="s">
        <v>19</v>
      </c>
      <c r="K782" s="52" t="str">
        <f t="shared" si="49"/>
        <v>International</v>
      </c>
      <c r="M782" s="55"/>
    </row>
    <row r="783">
      <c r="A783" s="29"/>
      <c r="B783" s="50" t="str">
        <f>IFERROR(__xludf.DUMMYFUNCTION("""COMPUTED_VALUE"""),"     School [GENEPIO:0100224]               ")</f>
        <v>     School [GENEPIO:0100224]               </v>
      </c>
      <c r="C783" s="29" t="str">
        <f>IFERROR(__xludf.DUMMYFUNCTION("""COMPUTED_VALUE"""),"GENEPIO:0100224")</f>
        <v>GENEPIO:0100224</v>
      </c>
      <c r="D783"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83" s="29"/>
      <c r="F783" s="29"/>
      <c r="G783" s="29"/>
      <c r="H783" s="54" t="s">
        <v>19</v>
      </c>
      <c r="I783" s="54" t="s">
        <v>19</v>
      </c>
      <c r="J783" s="54" t="s">
        <v>19</v>
      </c>
      <c r="K783" s="52" t="str">
        <f t="shared" si="49"/>
        <v>International</v>
      </c>
      <c r="M783" s="55"/>
    </row>
    <row r="784">
      <c r="A784" s="29"/>
      <c r="B784" s="50" t="str">
        <f>IFERROR(__xludf.DUMMYFUNCTION("""COMPUTED_VALUE"""),"     Temporary Residence [GENEPIO:0100225]               ")</f>
        <v>     Temporary Residence [GENEPIO:0100225]               </v>
      </c>
      <c r="C784" s="29" t="str">
        <f>IFERROR(__xludf.DUMMYFUNCTION("""COMPUTED_VALUE"""),"GENEPIO:0100225")</f>
        <v>GENEPIO:0100225</v>
      </c>
      <c r="D784"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84" s="29"/>
      <c r="F784" s="29"/>
      <c r="G784" s="29"/>
      <c r="H784" s="54" t="s">
        <v>19</v>
      </c>
      <c r="I784" s="54" t="s">
        <v>19</v>
      </c>
      <c r="J784" s="54" t="s">
        <v>19</v>
      </c>
      <c r="K784" s="52" t="str">
        <f t="shared" si="49"/>
        <v>International</v>
      </c>
    </row>
    <row r="785">
      <c r="A785" s="29"/>
      <c r="B785" s="50" t="str">
        <f>IFERROR(__xludf.DUMMYFUNCTION("""COMPUTED_VALUE"""),"          Homeless Shelter [GENEPIO:0100226]          ")</f>
        <v>          Homeless Shelter [GENEPIO:0100226]          </v>
      </c>
      <c r="C785" s="29" t="str">
        <f>IFERROR(__xludf.DUMMYFUNCTION("""COMPUTED_VALUE"""),"GENEPIO:0100226")</f>
        <v>GENEPIO:0100226</v>
      </c>
      <c r="D785"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85" s="29"/>
      <c r="F785" s="29"/>
      <c r="G785" s="29"/>
      <c r="H785" s="54" t="s">
        <v>19</v>
      </c>
      <c r="I785" s="54" t="s">
        <v>19</v>
      </c>
      <c r="J785" s="54" t="s">
        <v>19</v>
      </c>
      <c r="K785" s="52" t="str">
        <f t="shared" si="49"/>
        <v>International</v>
      </c>
      <c r="M785" s="56"/>
    </row>
    <row r="786">
      <c r="A786" s="53"/>
      <c r="B786" s="50" t="str">
        <f>IFERROR(__xludf.DUMMYFUNCTION("""COMPUTED_VALUE"""),"          Hotel [GENEPIO:0100227]          ")</f>
        <v>          Hotel [GENEPIO:0100227]          </v>
      </c>
      <c r="C786" s="53" t="str">
        <f>IFERROR(__xludf.DUMMYFUNCTION("""COMPUTED_VALUE"""),"GENEPIO:0100227")</f>
        <v>GENEPIO:0100227</v>
      </c>
      <c r="D786"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H786" s="54" t="s">
        <v>19</v>
      </c>
      <c r="I786" s="54" t="s">
        <v>19</v>
      </c>
      <c r="J786" s="54" t="s">
        <v>19</v>
      </c>
      <c r="K786" s="52" t="str">
        <f t="shared" si="49"/>
        <v>International</v>
      </c>
      <c r="M786" s="55"/>
    </row>
    <row r="787">
      <c r="A787" s="53"/>
      <c r="B787" s="50" t="str">
        <f>IFERROR(__xludf.DUMMYFUNCTION("""COMPUTED_VALUE"""),"     Veterinary Care Clinic [GENEPIO:0100228]               ")</f>
        <v>     Veterinary Care Clinic [GENEPIO:0100228]               </v>
      </c>
      <c r="C787" s="53" t="str">
        <f>IFERROR(__xludf.DUMMYFUNCTION("""COMPUTED_VALUE"""),"GENEPIO:0100228")</f>
        <v>GENEPIO:0100228</v>
      </c>
      <c r="D787"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H787" s="54" t="s">
        <v>19</v>
      </c>
      <c r="I787" s="54" t="s">
        <v>19</v>
      </c>
      <c r="J787" s="54" t="s">
        <v>19</v>
      </c>
      <c r="K787" s="52" t="str">
        <f t="shared" si="49"/>
        <v>International</v>
      </c>
    </row>
    <row r="788">
      <c r="A788" s="29"/>
      <c r="B788" s="50" t="str">
        <f>IFERROR(__xludf.DUMMYFUNCTION("""COMPUTED_VALUE"""),"Travel Exposure [GENEPIO:0100229]                    ")</f>
        <v>Travel Exposure [GENEPIO:0100229]                    </v>
      </c>
      <c r="C788" s="29" t="str">
        <f>IFERROR(__xludf.DUMMYFUNCTION("""COMPUTED_VALUE"""),"GENEPIO:0100229")</f>
        <v>GENEPIO:0100229</v>
      </c>
      <c r="D788" s="29" t="str">
        <f>IFERROR(__xludf.DUMMYFUNCTION("""COMPUTED_VALUE"""),"A process occuring as a result of travel that exposes the recipient organism to a material entity.")</f>
        <v>A process occuring as a result of travel that exposes the recipient organism to a material entity.</v>
      </c>
      <c r="E788" s="29"/>
      <c r="F788" s="29"/>
      <c r="G788" s="29"/>
      <c r="H788" s="54" t="s">
        <v>19</v>
      </c>
      <c r="I788" s="54" t="s">
        <v>19</v>
      </c>
      <c r="J788" s="54" t="s">
        <v>19</v>
      </c>
      <c r="K788" s="52" t="str">
        <f t="shared" si="49"/>
        <v>International</v>
      </c>
      <c r="M788" s="56"/>
    </row>
    <row r="789">
      <c r="A789" s="29"/>
      <c r="B789" s="50" t="str">
        <f>IFERROR(__xludf.DUMMYFUNCTION("""COMPUTED_VALUE"""),"     Travelled on a Cruise Ship [GENEPIO:0100230]               ")</f>
        <v>     Travelled on a Cruise Ship [GENEPIO:0100230]               </v>
      </c>
      <c r="C789" s="29" t="str">
        <f>IFERROR(__xludf.DUMMYFUNCTION("""COMPUTED_VALUE"""),"GENEPIO:0100230")</f>
        <v>GENEPIO:0100230</v>
      </c>
      <c r="D789"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89" s="29"/>
      <c r="F789" s="29"/>
      <c r="G789" s="29"/>
      <c r="H789" s="54" t="s">
        <v>19</v>
      </c>
      <c r="I789" s="54" t="s">
        <v>19</v>
      </c>
      <c r="J789" s="54" t="s">
        <v>19</v>
      </c>
      <c r="K789" s="52" t="str">
        <f t="shared" si="49"/>
        <v>International</v>
      </c>
      <c r="M789" s="55"/>
    </row>
    <row r="790">
      <c r="A790" s="53"/>
      <c r="B790" s="50" t="str">
        <f>IFERROR(__xludf.DUMMYFUNCTION("""COMPUTED_VALUE"""),"     Travelled on a Plane [GENEPIO:0100231]               ")</f>
        <v>     Travelled on a Plane [GENEPIO:0100231]               </v>
      </c>
      <c r="C790" s="53" t="str">
        <f>IFERROR(__xludf.DUMMYFUNCTION("""COMPUTED_VALUE"""),"GENEPIO:0100231")</f>
        <v>GENEPIO:0100231</v>
      </c>
      <c r="D790"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90" s="54" t="s">
        <v>19</v>
      </c>
      <c r="I790" s="54" t="s">
        <v>19</v>
      </c>
      <c r="J790" s="54" t="s">
        <v>19</v>
      </c>
      <c r="K790" s="52" t="str">
        <f t="shared" si="49"/>
        <v>International</v>
      </c>
    </row>
    <row r="791">
      <c r="A791" s="53"/>
      <c r="B791" s="50" t="str">
        <f>IFERROR(__xludf.DUMMYFUNCTION("""COMPUTED_VALUE"""),"     Travelled on Ground Transport [GENEPIO:0100232]               ")</f>
        <v>     Travelled on Ground Transport [GENEPIO:0100232]               </v>
      </c>
      <c r="C791" s="53" t="str">
        <f>IFERROR(__xludf.DUMMYFUNCTION("""COMPUTED_VALUE"""),"GENEPIO:0100232")</f>
        <v>GENEPIO:0100232</v>
      </c>
      <c r="D791"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91" s="52"/>
      <c r="I791" s="52"/>
      <c r="J791" s="52"/>
      <c r="K791" s="53" t="s">
        <v>33</v>
      </c>
      <c r="L791" s="53" t="str">
        <f>LEFT(A791, LEN(A791) - 5)
</f>
        <v>#VALUE!</v>
      </c>
      <c r="M791" s="56" t="s">
        <v>33</v>
      </c>
    </row>
    <row r="792">
      <c r="A792" s="29"/>
      <c r="B792" s="50" t="str">
        <f>IFERROR(__xludf.DUMMYFUNCTION("""COMPUTED_VALUE"""),"Other Exposure Setting [GENEPIO:0100235]                    ")</f>
        <v>Other Exposure Setting [GENEPIO:0100235]                    </v>
      </c>
      <c r="C792" s="29" t="str">
        <f>IFERROR(__xludf.DUMMYFUNCTION("""COMPUTED_VALUE"""),"GENEPIO:0100235")</f>
        <v>GENEPIO:0100235</v>
      </c>
      <c r="D792" s="29" t="str">
        <f>IFERROR(__xludf.DUMMYFUNCTION("""COMPUTED_VALUE"""),"A process occuring that exposes the recipient organism to a material entity.")</f>
        <v>A process occuring that exposes the recipient organism to a material entity.</v>
      </c>
      <c r="E792" s="29"/>
      <c r="F792" s="29"/>
      <c r="G792" s="29"/>
      <c r="H792" s="54" t="s">
        <v>19</v>
      </c>
      <c r="I792" s="54" t="s">
        <v>19</v>
      </c>
      <c r="J792" s="54" t="s">
        <v>19</v>
      </c>
      <c r="K792" s="52" t="str">
        <f t="shared" ref="K792:K793" si="50">K791</f>
        <v>MPox</v>
      </c>
      <c r="M792" s="55"/>
    </row>
    <row r="793">
      <c r="A793" s="29" t="str">
        <f>IFERROR(__xludf.DUMMYFUNCTION("""COMPUTED_VALUE"""),"prior Mpox infection menu")</f>
        <v>prior Mpox infection menu</v>
      </c>
      <c r="B793" s="50" t="str">
        <f>IFERROR(__xludf.DUMMYFUNCTION("""COMPUTED_VALUE"""),"                    ")</f>
        <v>                    </v>
      </c>
      <c r="C793" s="29"/>
      <c r="D793" s="29" t="str">
        <f>IFERROR(__xludf.DUMMYFUNCTION("""COMPUTED_VALUE"""),"")</f>
        <v/>
      </c>
      <c r="E793" s="29"/>
      <c r="F793" s="29"/>
      <c r="G793" s="29"/>
      <c r="H793" s="54" t="s">
        <v>19</v>
      </c>
      <c r="I793" s="54" t="s">
        <v>19</v>
      </c>
      <c r="J793" s="54" t="s">
        <v>19</v>
      </c>
      <c r="K793" s="52" t="str">
        <f t="shared" si="50"/>
        <v>MPox</v>
      </c>
    </row>
    <row r="794">
      <c r="A794" s="29"/>
      <c r="B794" s="50" t="str">
        <f>IFERROR(__xludf.DUMMYFUNCTION("""COMPUTED_VALUE"""),"Prior infection                    ")</f>
        <v>Prior infection                    </v>
      </c>
      <c r="C794" s="29" t="str">
        <f>IFERROR(__xludf.DUMMYFUNCTION("""COMPUTED_VALUE"""),"GENEPIO:0100037")</f>
        <v>GENEPIO:0100037</v>
      </c>
      <c r="D794" s="29" t="str">
        <f>IFERROR(__xludf.DUMMYFUNCTION("""COMPUTED_VALUE"""),"Antiviral treatment administered prior to the current regimen or test. ")</f>
        <v>Antiviral treatment administered prior to the current regimen or test. </v>
      </c>
      <c r="E794" s="29"/>
      <c r="F794" s="29"/>
      <c r="G794" s="29"/>
      <c r="H794" s="29"/>
      <c r="I794" s="29"/>
      <c r="J794" s="29"/>
      <c r="K794" s="53" t="s">
        <v>31</v>
      </c>
      <c r="L794" s="29" t="str">
        <f>LEFT(A794, LEN(A794) - 5)
</f>
        <v>#VALUE!</v>
      </c>
      <c r="M794" s="58" t="s">
        <v>32</v>
      </c>
    </row>
    <row r="795">
      <c r="A795" s="53"/>
      <c r="B795" s="50" t="str">
        <f>IFERROR(__xludf.DUMMYFUNCTION("""COMPUTED_VALUE"""),"No prior infection                    ")</f>
        <v>No prior infection                    </v>
      </c>
      <c r="C795" s="53" t="str">
        <f>IFERROR(__xludf.DUMMYFUNCTION("""COMPUTED_VALUE"""),"GENEPIO:0100233")</f>
        <v>GENEPIO:0100233</v>
      </c>
      <c r="D795" s="29" t="str">
        <f>IFERROR(__xludf.DUMMYFUNCTION("""COMPUTED_VALUE"""),"An absence of antiviral treatment administered prior to the current regimen or test.")</f>
        <v>An absence of antiviral treatment administered prior to the current regimen or test.</v>
      </c>
      <c r="H795" s="54" t="s">
        <v>19</v>
      </c>
      <c r="I795" s="54" t="s">
        <v>19</v>
      </c>
      <c r="J795" s="54" t="s">
        <v>19</v>
      </c>
      <c r="K795" s="52" t="str">
        <f t="shared" ref="K795:K796" si="51">K794</f>
        <v>International</v>
      </c>
      <c r="M795" s="55"/>
    </row>
    <row r="796">
      <c r="A796" s="53" t="str">
        <f>IFERROR(__xludf.DUMMYFUNCTION("""COMPUTED_VALUE"""),"prior Mpox infection international menu")</f>
        <v>prior Mpox infection international menu</v>
      </c>
      <c r="B796" s="50" t="str">
        <f>IFERROR(__xludf.DUMMYFUNCTION("""COMPUTED_VALUE"""),"                    ")</f>
        <v>                    </v>
      </c>
      <c r="C796" s="53"/>
      <c r="D796" s="29" t="str">
        <f>IFERROR(__xludf.DUMMYFUNCTION("""COMPUTED_VALUE"""),"")</f>
        <v/>
      </c>
      <c r="E796" s="53"/>
      <c r="F796" s="53"/>
      <c r="G796" s="53"/>
      <c r="H796" s="54" t="s">
        <v>19</v>
      </c>
      <c r="I796" s="54" t="s">
        <v>19</v>
      </c>
      <c r="J796" s="54" t="s">
        <v>19</v>
      </c>
      <c r="K796" s="52" t="str">
        <f t="shared" si="51"/>
        <v>International</v>
      </c>
    </row>
    <row r="797">
      <c r="A797" s="53"/>
      <c r="B797" s="50" t="str">
        <f>IFERROR(__xludf.DUMMYFUNCTION("""COMPUTED_VALUE"""),"Prior infection [GENEPIO:0100037]                    ")</f>
        <v>Prior infection [GENEPIO:0100037]                    </v>
      </c>
      <c r="C797" s="53" t="str">
        <f>IFERROR(__xludf.DUMMYFUNCTION("""COMPUTED_VALUE"""),"GENEPIO:0100037")</f>
        <v>GENEPIO:0100037</v>
      </c>
      <c r="D797" s="29" t="str">
        <f>IFERROR(__xludf.DUMMYFUNCTION("""COMPUTED_VALUE"""),"Antiviral treatment administered prior to the current regimen or test. ")</f>
        <v>Antiviral treatment administered prior to the current regimen or test. </v>
      </c>
      <c r="H797" s="52"/>
      <c r="I797" s="52"/>
      <c r="J797" s="52"/>
      <c r="K797" s="53" t="s">
        <v>29</v>
      </c>
      <c r="L797" s="53" t="str">
        <f>LEFT(A797, LEN(A797) - 5)
</f>
        <v>#VALUE!</v>
      </c>
      <c r="M797" s="56" t="s">
        <v>29</v>
      </c>
    </row>
    <row r="798">
      <c r="A798" s="53"/>
      <c r="B798" s="50" t="str">
        <f>IFERROR(__xludf.DUMMYFUNCTION("""COMPUTED_VALUE"""),"No prior infection [GENEPIO:0100233]                    ")</f>
        <v>No prior infection [GENEPIO:0100233]                    </v>
      </c>
      <c r="C798" s="53" t="str">
        <f>IFERROR(__xludf.DUMMYFUNCTION("""COMPUTED_VALUE"""),"GENEPIO:0100233")</f>
        <v>GENEPIO:0100233</v>
      </c>
      <c r="D798" s="29" t="str">
        <f>IFERROR(__xludf.DUMMYFUNCTION("""COMPUTED_VALUE"""),"An absence of antiviral treatment administered prior to the current regimen or test.")</f>
        <v>An absence of antiviral treatment administered prior to the current regimen or test.</v>
      </c>
      <c r="H798" s="54" t="s">
        <v>19</v>
      </c>
      <c r="I798" s="54" t="s">
        <v>19</v>
      </c>
      <c r="J798" s="54" t="s">
        <v>19</v>
      </c>
      <c r="K798" s="52" t="str">
        <f t="shared" ref="K798:K799" si="52">K797</f>
        <v>Mpox</v>
      </c>
    </row>
    <row r="799">
      <c r="A799" s="53" t="str">
        <f>IFERROR(__xludf.DUMMYFUNCTION("""COMPUTED_VALUE"""),"prior Mpox antiviral treatment menu")</f>
        <v>prior Mpox antiviral treatment menu</v>
      </c>
      <c r="B799" s="50" t="str">
        <f>IFERROR(__xludf.DUMMYFUNCTION("""COMPUTED_VALUE"""),"                    ")</f>
        <v>                    </v>
      </c>
      <c r="C799" s="53"/>
      <c r="D799" s="29" t="str">
        <f>IFERROR(__xludf.DUMMYFUNCTION("""COMPUTED_VALUE"""),"")</f>
        <v/>
      </c>
      <c r="E799" s="53"/>
      <c r="F799" s="53"/>
      <c r="G799" s="53"/>
      <c r="H799" s="52" t="s">
        <v>19</v>
      </c>
      <c r="I799" s="52" t="s">
        <v>19</v>
      </c>
      <c r="J799" s="52" t="s">
        <v>19</v>
      </c>
      <c r="K799" s="52" t="str">
        <f t="shared" si="52"/>
        <v>Mpox</v>
      </c>
      <c r="M799" s="56"/>
    </row>
    <row r="800">
      <c r="A800" s="29"/>
      <c r="B800" s="50" t="str">
        <f>IFERROR(__xludf.DUMMYFUNCTION("""COMPUTED_VALUE"""),"Prior antiviral treatment                    ")</f>
        <v>Prior antiviral treatment                    </v>
      </c>
      <c r="C800" s="29" t="str">
        <f>IFERROR(__xludf.DUMMYFUNCTION("""COMPUTED_VALUE"""),"GENEPIO:0100037")</f>
        <v>GENEPIO:0100037</v>
      </c>
      <c r="D800" s="29" t="str">
        <f>IFERROR(__xludf.DUMMYFUNCTION("""COMPUTED_VALUE"""),"Antiviral treatment administered prior to the current regimen or test. ")</f>
        <v>Antiviral treatment administered prior to the current regimen or test. </v>
      </c>
      <c r="E800" s="29"/>
      <c r="F800" s="29"/>
      <c r="G800" s="29"/>
      <c r="H800" s="29"/>
      <c r="I800" s="29"/>
      <c r="J800" s="29"/>
      <c r="K800" s="53" t="s">
        <v>31</v>
      </c>
      <c r="L800" s="29" t="str">
        <f>LEFT(A800, LEN(A800) - 5)
</f>
        <v>#VALUE!</v>
      </c>
      <c r="M800" s="58" t="s">
        <v>32</v>
      </c>
    </row>
    <row r="801">
      <c r="A801" s="29"/>
      <c r="B801" s="50" t="str">
        <f>IFERROR(__xludf.DUMMYFUNCTION("""COMPUTED_VALUE"""),"No prior antiviral treatment                    ")</f>
        <v>No prior antiviral treatment                    </v>
      </c>
      <c r="C801" s="29" t="str">
        <f>IFERROR(__xludf.DUMMYFUNCTION("""COMPUTED_VALUE"""),"GENEPIO:0100233")</f>
        <v>GENEPIO:0100233</v>
      </c>
      <c r="D801" s="29" t="str">
        <f>IFERROR(__xludf.DUMMYFUNCTION("""COMPUTED_VALUE"""),"An absence of antiviral treatment administered prior to the current regimen or test.")</f>
        <v>An absence of antiviral treatment administered prior to the current regimen or test.</v>
      </c>
      <c r="E801" s="29"/>
      <c r="F801" s="29"/>
      <c r="G801" s="29"/>
      <c r="H801" s="54" t="s">
        <v>19</v>
      </c>
      <c r="I801" s="54" t="s">
        <v>19</v>
      </c>
      <c r="J801" s="54" t="s">
        <v>19</v>
      </c>
      <c r="K801" s="52" t="str">
        <f t="shared" ref="K801:K802" si="53">K800</f>
        <v>International</v>
      </c>
      <c r="M801" s="56"/>
    </row>
    <row r="802">
      <c r="A802" s="29" t="str">
        <f>IFERROR(__xludf.DUMMYFUNCTION("""COMPUTED_VALUE"""),"prior Mpox antiviral treatment international menu")</f>
        <v>prior Mpox antiviral treatment international menu</v>
      </c>
      <c r="B802" s="50" t="str">
        <f>IFERROR(__xludf.DUMMYFUNCTION("""COMPUTED_VALUE"""),"                    ")</f>
        <v>                    </v>
      </c>
      <c r="C802" s="29"/>
      <c r="D802" s="29" t="str">
        <f>IFERROR(__xludf.DUMMYFUNCTION("""COMPUTED_VALUE"""),"")</f>
        <v/>
      </c>
      <c r="E802" s="29"/>
      <c r="F802" s="29"/>
      <c r="G802" s="29"/>
      <c r="H802" s="54" t="s">
        <v>19</v>
      </c>
      <c r="I802" s="54" t="s">
        <v>19</v>
      </c>
      <c r="J802" s="54" t="s">
        <v>19</v>
      </c>
      <c r="K802" s="52" t="str">
        <f t="shared" si="53"/>
        <v>International</v>
      </c>
    </row>
    <row r="803">
      <c r="A803" s="29"/>
      <c r="B803" s="50" t="str">
        <f>IFERROR(__xludf.DUMMYFUNCTION("""COMPUTED_VALUE"""),"Prior antiviral treatment [GENEPIO:0100037]                    ")</f>
        <v>Prior antiviral treatment [GENEPIO:0100037]                    </v>
      </c>
      <c r="C803" s="29" t="str">
        <f>IFERROR(__xludf.DUMMYFUNCTION("""COMPUTED_VALUE"""),"GENEPIO:0100037")</f>
        <v>GENEPIO:0100037</v>
      </c>
      <c r="D803" s="29" t="str">
        <f>IFERROR(__xludf.DUMMYFUNCTION("""COMPUTED_VALUE"""),"Antiviral treatment administered prior to the current regimen or test. ")</f>
        <v>Antiviral treatment administered prior to the current regimen or test. </v>
      </c>
      <c r="E803" s="29"/>
      <c r="F803" s="29"/>
      <c r="G803" s="29"/>
      <c r="H803" s="54"/>
      <c r="I803" s="54"/>
      <c r="J803" s="54"/>
      <c r="K803" s="53" t="s">
        <v>29</v>
      </c>
      <c r="L803" s="53" t="str">
        <f>LEFT(A803, LEN(A803) - 5)
</f>
        <v>#VALUE!</v>
      </c>
      <c r="M803" s="60" t="s">
        <v>29</v>
      </c>
    </row>
    <row r="804">
      <c r="A804" s="29"/>
      <c r="B804" s="50" t="str">
        <f>IFERROR(__xludf.DUMMYFUNCTION("""COMPUTED_VALUE"""),"No prior antiviral treatment [GENEPIO:0100233]                    ")</f>
        <v>No prior antiviral treatment [GENEPIO:0100233]                    </v>
      </c>
      <c r="C804" s="29" t="str">
        <f>IFERROR(__xludf.DUMMYFUNCTION("""COMPUTED_VALUE"""),"GENEPIO:0100233")</f>
        <v>GENEPIO:0100233</v>
      </c>
      <c r="D804" s="29" t="str">
        <f>IFERROR(__xludf.DUMMYFUNCTION("""COMPUTED_VALUE"""),"An absence of antiviral treatment administered prior to the current regimen or test.")</f>
        <v>An absence of antiviral treatment administered prior to the current regimen or test.</v>
      </c>
      <c r="E804" s="29"/>
      <c r="F804" s="29"/>
      <c r="G804" s="29"/>
      <c r="H804" s="54" t="s">
        <v>19</v>
      </c>
      <c r="I804" s="54" t="s">
        <v>19</v>
      </c>
      <c r="J804" s="54" t="s">
        <v>19</v>
      </c>
      <c r="K804" s="52" t="str">
        <f>K803</f>
        <v>Mpox</v>
      </c>
      <c r="M804" s="57"/>
    </row>
    <row r="805">
      <c r="A805" s="53" t="str">
        <f>IFERROR(__xludf.DUMMYFUNCTION("""COMPUTED_VALUE"""),"organism menu")</f>
        <v>organism menu</v>
      </c>
      <c r="B805" s="50" t="str">
        <f>IFERROR(__xludf.DUMMYFUNCTION("""COMPUTED_VALUE"""),"                    ")</f>
        <v>                    </v>
      </c>
      <c r="C805" s="53"/>
      <c r="D805" s="29" t="str">
        <f>IFERROR(__xludf.DUMMYFUNCTION("""COMPUTED_VALUE"""),"")</f>
        <v/>
      </c>
      <c r="E805" s="53"/>
      <c r="F805" s="53"/>
      <c r="G805" s="53"/>
      <c r="H805" s="53"/>
      <c r="I805" s="53"/>
      <c r="J805" s="53"/>
      <c r="K805" s="53" t="s">
        <v>31</v>
      </c>
      <c r="L805" s="29" t="str">
        <f>LEFT(A805, LEN(A805) - 5)
</f>
        <v>organism</v>
      </c>
      <c r="M805" s="58" t="s">
        <v>32</v>
      </c>
    </row>
    <row r="806">
      <c r="A806" s="53"/>
      <c r="B806" s="50" t="str">
        <f>IFERROR(__xludf.DUMMYFUNCTION("""COMPUTED_VALUE"""),"Mpox virus                    ")</f>
        <v>Mpox virus                    </v>
      </c>
      <c r="C806" s="53" t="str">
        <f>IFERROR(__xludf.DUMMYFUNCTION("""COMPUTED_VALUE"""),"NCBITaxon:10244")</f>
        <v>NCBITaxon:10244</v>
      </c>
      <c r="D806"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806" s="52" t="s">
        <v>19</v>
      </c>
      <c r="I806" s="52" t="s">
        <v>19</v>
      </c>
      <c r="J806" s="52" t="s">
        <v>19</v>
      </c>
      <c r="K806" s="52" t="str">
        <f>K805</f>
        <v>International</v>
      </c>
      <c r="M806" s="56"/>
    </row>
    <row r="807">
      <c r="A807" s="53" t="str">
        <f>IFERROR(__xludf.DUMMYFUNCTION("""COMPUTED_VALUE"""),"organism international menu")</f>
        <v>organism international menu</v>
      </c>
      <c r="B807" s="50" t="str">
        <f>IFERROR(__xludf.DUMMYFUNCTION("""COMPUTED_VALUE"""),"                    ")</f>
        <v>                    </v>
      </c>
      <c r="C807" s="53"/>
      <c r="D807" s="29" t="str">
        <f>IFERROR(__xludf.DUMMYFUNCTION("""COMPUTED_VALUE"""),"")</f>
        <v/>
      </c>
      <c r="E807" s="53"/>
      <c r="F807" s="53"/>
      <c r="G807" s="53"/>
      <c r="H807" s="52"/>
      <c r="I807" s="52"/>
      <c r="J807" s="52"/>
      <c r="K807" s="53" t="s">
        <v>29</v>
      </c>
      <c r="L807" s="53" t="str">
        <f>LEFT(A807, LEN(A807) - 5)
</f>
        <v>organism international</v>
      </c>
      <c r="M807" s="60" t="s">
        <v>29</v>
      </c>
    </row>
    <row r="808">
      <c r="A808" s="53"/>
      <c r="B808" s="50" t="str">
        <f>IFERROR(__xludf.DUMMYFUNCTION("""COMPUTED_VALUE"""),"Mpox virus [NCBITaxon:10244]                    ")</f>
        <v>Mpox virus [NCBITaxon:10244]                    </v>
      </c>
      <c r="C808" s="53" t="str">
        <f>IFERROR(__xludf.DUMMYFUNCTION("""COMPUTED_VALUE"""),"NCBITaxon:10244")</f>
        <v>NCBITaxon:10244</v>
      </c>
      <c r="D808"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808" s="52" t="s">
        <v>19</v>
      </c>
      <c r="I808" s="52" t="s">
        <v>19</v>
      </c>
      <c r="J808" s="52" t="s">
        <v>19</v>
      </c>
      <c r="K808" s="52" t="str">
        <f>K807</f>
        <v>Mpox</v>
      </c>
      <c r="M808" s="55"/>
    </row>
    <row r="809">
      <c r="A809" s="53" t="str">
        <f>IFERROR(__xludf.DUMMYFUNCTION("""COMPUTED_VALUE"""),"host disease menu")</f>
        <v>host disease menu</v>
      </c>
      <c r="B809" s="50" t="str">
        <f>IFERROR(__xludf.DUMMYFUNCTION("""COMPUTED_VALUE"""),"                    ")</f>
        <v>                    </v>
      </c>
      <c r="C809" s="53"/>
      <c r="D809" s="29" t="str">
        <f>IFERROR(__xludf.DUMMYFUNCTION("""COMPUTED_VALUE"""),"")</f>
        <v/>
      </c>
      <c r="E809" s="53"/>
      <c r="F809" s="53"/>
      <c r="G809" s="53"/>
      <c r="H809" s="52"/>
      <c r="I809" s="52"/>
      <c r="J809" s="52"/>
      <c r="K809" s="53" t="s">
        <v>31</v>
      </c>
      <c r="L809" s="29" t="str">
        <f>LEFT(A809, LEN(A809) - 5)
</f>
        <v>host disease</v>
      </c>
      <c r="M809" s="58" t="s">
        <v>32</v>
      </c>
    </row>
    <row r="810">
      <c r="A810" s="53"/>
      <c r="B810" s="50" t="str">
        <f>IFERROR(__xludf.DUMMYFUNCTION("""COMPUTED_VALUE"""),"Mpox                    ")</f>
        <v>Mpox                    </v>
      </c>
      <c r="C810" s="53" t="str">
        <f>IFERROR(__xludf.DUMMYFUNCTION("""COMPUTED_VALUE"""),"MONDO:0002594")</f>
        <v>MONDO:0002594</v>
      </c>
      <c r="D810"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10" s="54" t="s">
        <v>19</v>
      </c>
      <c r="I810" s="54" t="s">
        <v>19</v>
      </c>
      <c r="J810" s="54" t="s">
        <v>19</v>
      </c>
      <c r="K810" s="52" t="str">
        <f t="shared" ref="K810:K811" si="54">K809</f>
        <v>International</v>
      </c>
    </row>
    <row r="811">
      <c r="A811" s="53" t="str">
        <f>IFERROR(__xludf.DUMMYFUNCTION("""COMPUTED_VALUE"""),"host disease international menu")</f>
        <v>host disease international menu</v>
      </c>
      <c r="B811" s="50" t="str">
        <f>IFERROR(__xludf.DUMMYFUNCTION("""COMPUTED_VALUE"""),"                    ")</f>
        <v>                    </v>
      </c>
      <c r="C811" s="53"/>
      <c r="D811" s="29" t="str">
        <f>IFERROR(__xludf.DUMMYFUNCTION("""COMPUTED_VALUE"""),"")</f>
        <v/>
      </c>
      <c r="E811" s="53"/>
      <c r="F811" s="53"/>
      <c r="G811" s="53"/>
      <c r="H811" s="52" t="s">
        <v>19</v>
      </c>
      <c r="I811" s="52" t="s">
        <v>19</v>
      </c>
      <c r="J811" s="52" t="s">
        <v>19</v>
      </c>
      <c r="K811" s="52" t="str">
        <f t="shared" si="54"/>
        <v>International</v>
      </c>
      <c r="M811" s="56"/>
    </row>
    <row r="812">
      <c r="A812" s="53"/>
      <c r="B812" s="50" t="str">
        <f>IFERROR(__xludf.DUMMYFUNCTION("""COMPUTED_VALUE"""),"Mpox [MONDO:0002594]                    ")</f>
        <v>Mpox [MONDO:0002594]                    </v>
      </c>
      <c r="C812" s="53" t="str">
        <f>IFERROR(__xludf.DUMMYFUNCTION("""COMPUTED_VALUE"""),"MONDO:0002594")</f>
        <v>MONDO:0002594</v>
      </c>
      <c r="D812"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812" s="52"/>
      <c r="I812" s="52"/>
      <c r="J812" s="52"/>
      <c r="K812" s="53" t="s">
        <v>29</v>
      </c>
      <c r="L812" s="53" t="str">
        <f>LEFT(A812, LEN(A812) - 5)
</f>
        <v>#VALUE!</v>
      </c>
      <c r="M812" s="60" t="s">
        <v>29</v>
      </c>
    </row>
    <row r="813">
      <c r="A813" s="53"/>
      <c r="B813" s="50" t="str">
        <f>IFERROR(__xludf.DUMMYFUNCTION("""COMPUTED_VALUE"""),"                    ")</f>
        <v>                    </v>
      </c>
      <c r="C813" s="53"/>
      <c r="D813" s="29" t="str">
        <f>IFERROR(__xludf.DUMMYFUNCTION("""COMPUTED_VALUE"""),"")</f>
        <v/>
      </c>
      <c r="H813" s="52" t="s">
        <v>19</v>
      </c>
      <c r="I813" s="52" t="s">
        <v>19</v>
      </c>
      <c r="J813" s="52" t="s">
        <v>19</v>
      </c>
      <c r="K813" s="52" t="str">
        <f t="shared" ref="K813:K816" si="55">K812</f>
        <v>Mpox</v>
      </c>
      <c r="M813" s="55"/>
    </row>
    <row r="814">
      <c r="A814" s="53" t="str">
        <f>IFERROR(__xludf.DUMMYFUNCTION("""COMPUTED_VALUE"""),"purpose of sampling menu")</f>
        <v>purpose of sampling menu</v>
      </c>
      <c r="B814" s="50" t="str">
        <f>IFERROR(__xludf.DUMMYFUNCTION("""COMPUTED_VALUE"""),"                    ")</f>
        <v>                    </v>
      </c>
      <c r="C814" s="53"/>
      <c r="D814" s="29" t="str">
        <f>IFERROR(__xludf.DUMMYFUNCTION("""COMPUTED_VALUE"""),"")</f>
        <v/>
      </c>
      <c r="E814" s="53"/>
      <c r="F814" s="53"/>
      <c r="G814" s="53"/>
      <c r="H814" s="52" t="s">
        <v>19</v>
      </c>
      <c r="I814" s="52" t="s">
        <v>19</v>
      </c>
      <c r="J814" s="52" t="s">
        <v>19</v>
      </c>
      <c r="K814" s="52" t="str">
        <f t="shared" si="55"/>
        <v>Mpox</v>
      </c>
      <c r="M814" s="55"/>
    </row>
    <row r="815">
      <c r="A815" s="53"/>
      <c r="B815" s="50" t="str">
        <f>IFERROR(__xludf.DUMMYFUNCTION("""COMPUTED_VALUE"""),"Cluster/Outbreak investigation                    ")</f>
        <v>Cluster/Outbreak investigation                    </v>
      </c>
      <c r="C815" s="53" t="str">
        <f>IFERROR(__xludf.DUMMYFUNCTION("""COMPUTED_VALUE"""),"GENEPIO:0100001")</f>
        <v>GENEPIO:0100001</v>
      </c>
      <c r="D815" s="29" t="str">
        <f>IFERROR(__xludf.DUMMYFUNCTION("""COMPUTED_VALUE"""),"A sampling strategy in which individuals are chosen for investigation into a disease cluster or outbreak.")</f>
        <v>A sampling strategy in which individuals are chosen for investigation into a disease cluster or outbreak.</v>
      </c>
      <c r="H815" s="54" t="s">
        <v>19</v>
      </c>
      <c r="I815" s="54" t="s">
        <v>19</v>
      </c>
      <c r="J815" s="54" t="s">
        <v>19</v>
      </c>
      <c r="K815" s="52" t="str">
        <f t="shared" si="55"/>
        <v>Mpox</v>
      </c>
    </row>
    <row r="816">
      <c r="A816" s="53"/>
      <c r="B816" s="50" t="str">
        <f>IFERROR(__xludf.DUMMYFUNCTION("""COMPUTED_VALUE"""),"Diagnostic testing                    ")</f>
        <v>Diagnostic testing                    </v>
      </c>
      <c r="C816" s="53" t="str">
        <f>IFERROR(__xludf.DUMMYFUNCTION("""COMPUTED_VALUE"""),"GENEPIO:0100002")</f>
        <v>GENEPIO:0100002</v>
      </c>
      <c r="D816" s="29" t="str">
        <f>IFERROR(__xludf.DUMMYFUNCTION("""COMPUTED_VALUE"""),"A sampling strategy in which individuals are sampled in the context of diagnostic testing.")</f>
        <v>A sampling strategy in which individuals are sampled in the context of diagnostic testing.</v>
      </c>
      <c r="H816" s="52" t="s">
        <v>19</v>
      </c>
      <c r="I816" s="52" t="s">
        <v>19</v>
      </c>
      <c r="J816" s="52" t="s">
        <v>19</v>
      </c>
      <c r="K816" s="52" t="str">
        <f t="shared" si="55"/>
        <v>Mpox</v>
      </c>
      <c r="M816" s="56"/>
    </row>
    <row r="817">
      <c r="A817" s="53"/>
      <c r="B817" s="50" t="str">
        <f>IFERROR(__xludf.DUMMYFUNCTION("""COMPUTED_VALUE"""),"Research                    ")</f>
        <v>Research                    </v>
      </c>
      <c r="C817" s="53" t="str">
        <f>IFERROR(__xludf.DUMMYFUNCTION("""COMPUTED_VALUE"""),"GENEPIO:0100003")</f>
        <v>GENEPIO:0100003</v>
      </c>
      <c r="D817" s="29" t="str">
        <f>IFERROR(__xludf.DUMMYFUNCTION("""COMPUTED_VALUE"""),"A sampling strategy in which individuals are sampled in order to perform research.")</f>
        <v>A sampling strategy in which individuals are sampled in order to perform research.</v>
      </c>
      <c r="H817" s="52"/>
      <c r="I817" s="52"/>
      <c r="J817" s="52"/>
      <c r="K817" s="53" t="s">
        <v>31</v>
      </c>
      <c r="L817" s="29" t="str">
        <f>LEFT(A817, LEN(A817) - 5)
</f>
        <v>#VALUE!</v>
      </c>
      <c r="M817" s="58" t="s">
        <v>32</v>
      </c>
    </row>
    <row r="818">
      <c r="A818" s="53"/>
      <c r="B818" s="50" t="str">
        <f>IFERROR(__xludf.DUMMYFUNCTION("""COMPUTED_VALUE"""),"Surveillance                    ")</f>
        <v>Surveillance                    </v>
      </c>
      <c r="C818" s="53" t="str">
        <f>IFERROR(__xludf.DUMMYFUNCTION("""COMPUTED_VALUE"""),"GENEPIO:0100004")</f>
        <v>GENEPIO:0100004</v>
      </c>
      <c r="D818" s="29" t="str">
        <f>IFERROR(__xludf.DUMMYFUNCTION("""COMPUTED_VALUE"""),"A sampling strategy in which individuals are sampled for surveillance investigations.")</f>
        <v>A sampling strategy in which individuals are sampled for surveillance investigations.</v>
      </c>
      <c r="H818" s="52" t="s">
        <v>19</v>
      </c>
      <c r="I818" s="52" t="s">
        <v>19</v>
      </c>
      <c r="J818" s="52" t="s">
        <v>19</v>
      </c>
      <c r="K818" s="52" t="str">
        <f t="shared" ref="K818:K821" si="56">K817</f>
        <v>International</v>
      </c>
      <c r="M818" s="55"/>
    </row>
    <row r="819">
      <c r="A819" s="53" t="str">
        <f>IFERROR(__xludf.DUMMYFUNCTION("""COMPUTED_VALUE"""),"purpose of sampling international menu")</f>
        <v>purpose of sampling international menu</v>
      </c>
      <c r="B819" s="50" t="str">
        <f>IFERROR(__xludf.DUMMYFUNCTION("""COMPUTED_VALUE"""),"                    ")</f>
        <v>                    </v>
      </c>
      <c r="C819" s="53"/>
      <c r="D819" s="29" t="str">
        <f>IFERROR(__xludf.DUMMYFUNCTION("""COMPUTED_VALUE"""),"")</f>
        <v/>
      </c>
      <c r="E819" s="53"/>
      <c r="F819" s="53"/>
      <c r="G819" s="53"/>
      <c r="H819" s="52" t="s">
        <v>19</v>
      </c>
      <c r="I819" s="52" t="s">
        <v>19</v>
      </c>
      <c r="J819" s="52" t="s">
        <v>19</v>
      </c>
      <c r="K819" s="52" t="str">
        <f t="shared" si="56"/>
        <v>International</v>
      </c>
      <c r="M819" s="55"/>
    </row>
    <row r="820">
      <c r="A820" s="53"/>
      <c r="B820" s="50" t="str">
        <f>IFERROR(__xludf.DUMMYFUNCTION("""COMPUTED_VALUE"""),"Cluster/Outbreak investigation [GENEPIO:0100001]                    ")</f>
        <v>Cluster/Outbreak investigation [GENEPIO:0100001]                    </v>
      </c>
      <c r="C820" s="53" t="str">
        <f>IFERROR(__xludf.DUMMYFUNCTION("""COMPUTED_VALUE"""),"GENEPIO:0100001")</f>
        <v>GENEPIO:0100001</v>
      </c>
      <c r="D820" s="29" t="str">
        <f>IFERROR(__xludf.DUMMYFUNCTION("""COMPUTED_VALUE"""),"A sampling strategy in which individuals are chosen for investigation into a disease cluster or outbreak.")</f>
        <v>A sampling strategy in which individuals are chosen for investigation into a disease cluster or outbreak.</v>
      </c>
      <c r="H820" s="52" t="s">
        <v>19</v>
      </c>
      <c r="I820" s="52" t="s">
        <v>19</v>
      </c>
      <c r="J820" s="52" t="s">
        <v>19</v>
      </c>
      <c r="K820" s="52" t="str">
        <f t="shared" si="56"/>
        <v>International</v>
      </c>
      <c r="M820" s="55"/>
    </row>
    <row r="821">
      <c r="A821" s="53"/>
      <c r="B821" s="50" t="str">
        <f>IFERROR(__xludf.DUMMYFUNCTION("""COMPUTED_VALUE"""),"Diagnostic testing [GENEPIO:0100002]                    ")</f>
        <v>Diagnostic testing [GENEPIO:0100002]                    </v>
      </c>
      <c r="C821" s="53" t="str">
        <f>IFERROR(__xludf.DUMMYFUNCTION("""COMPUTED_VALUE"""),"GENEPIO:0100002")</f>
        <v>GENEPIO:0100002</v>
      </c>
      <c r="D821" s="29" t="str">
        <f>IFERROR(__xludf.DUMMYFUNCTION("""COMPUTED_VALUE"""),"A sampling strategy in which individuals are sampled in the context of diagnostic testing.")</f>
        <v>A sampling strategy in which individuals are sampled in the context of diagnostic testing.</v>
      </c>
      <c r="H821" s="52" t="s">
        <v>19</v>
      </c>
      <c r="I821" s="52" t="s">
        <v>19</v>
      </c>
      <c r="J821" s="52" t="s">
        <v>19</v>
      </c>
      <c r="K821" s="52" t="str">
        <f t="shared" si="56"/>
        <v>International</v>
      </c>
      <c r="M821" s="55"/>
    </row>
    <row r="822">
      <c r="A822" s="53"/>
      <c r="B822" s="50" t="str">
        <f>IFERROR(__xludf.DUMMYFUNCTION("""COMPUTED_VALUE"""),"Research [GENEPIO:0100003]                    ")</f>
        <v>Research [GENEPIO:0100003]                    </v>
      </c>
      <c r="C822" s="53" t="str">
        <f>IFERROR(__xludf.DUMMYFUNCTION("""COMPUTED_VALUE"""),"GENEPIO:0100003")</f>
        <v>GENEPIO:0100003</v>
      </c>
      <c r="D822" s="29" t="str">
        <f>IFERROR(__xludf.DUMMYFUNCTION("""COMPUTED_VALUE"""),"A sampling strategy in which individuals are sampled in order to perform research.")</f>
        <v>A sampling strategy in which individuals are sampled in order to perform research.</v>
      </c>
      <c r="H822" s="52"/>
      <c r="I822" s="52"/>
      <c r="J822" s="52"/>
      <c r="K822" s="53" t="s">
        <v>29</v>
      </c>
      <c r="L822" s="53" t="str">
        <f>LEFT(A822, LEN(A822) - 5)
</f>
        <v>#VALUE!</v>
      </c>
      <c r="M822" s="60" t="s">
        <v>29</v>
      </c>
    </row>
    <row r="823">
      <c r="A823" s="53"/>
      <c r="B823" s="50" t="str">
        <f>IFERROR(__xludf.DUMMYFUNCTION("""COMPUTED_VALUE"""),"Surveillance [GENEPIO:0100004]                    ")</f>
        <v>Surveillance [GENEPIO:0100004]                    </v>
      </c>
      <c r="C823" s="53" t="str">
        <f>IFERROR(__xludf.DUMMYFUNCTION("""COMPUTED_VALUE"""),"GENEPIO:0100004")</f>
        <v>GENEPIO:0100004</v>
      </c>
      <c r="D823" s="29" t="str">
        <f>IFERROR(__xludf.DUMMYFUNCTION("""COMPUTED_VALUE"""),"A sampling strategy in which individuals are sampled for surveillance investigations.")</f>
        <v>A sampling strategy in which individuals are sampled for surveillance investigations.</v>
      </c>
      <c r="H823" s="52" t="s">
        <v>19</v>
      </c>
      <c r="I823" s="52" t="s">
        <v>19</v>
      </c>
      <c r="J823" s="52" t="s">
        <v>19</v>
      </c>
      <c r="K823" s="52" t="str">
        <f t="shared" ref="K823:K840" si="57">K822</f>
        <v>Mpox</v>
      </c>
      <c r="M823" s="55"/>
    </row>
    <row r="824">
      <c r="A824" s="29" t="str">
        <f>IFERROR(__xludf.DUMMYFUNCTION("""COMPUTED_VALUE"""),"purpose of sequencing menu")</f>
        <v>purpose of sequencing menu</v>
      </c>
      <c r="B824" s="50" t="str">
        <f>IFERROR(__xludf.DUMMYFUNCTION("""COMPUTED_VALUE"""),"                    ")</f>
        <v>                    </v>
      </c>
      <c r="C824" s="29"/>
      <c r="D824" s="29" t="str">
        <f>IFERROR(__xludf.DUMMYFUNCTION("""COMPUTED_VALUE"""),"")</f>
        <v/>
      </c>
      <c r="E824" s="29"/>
      <c r="F824" s="29"/>
      <c r="G824" s="29"/>
      <c r="H824" s="54" t="s">
        <v>19</v>
      </c>
      <c r="I824" s="54" t="s">
        <v>19</v>
      </c>
      <c r="J824" s="54" t="s">
        <v>19</v>
      </c>
      <c r="K824" s="52" t="str">
        <f t="shared" si="57"/>
        <v>Mpox</v>
      </c>
      <c r="M824" s="55"/>
    </row>
    <row r="825">
      <c r="A825" s="29"/>
      <c r="B825" s="50" t="str">
        <f>IFERROR(__xludf.DUMMYFUNCTION("""COMPUTED_VALUE"""),"Baseline surveillance (random sampling)                    ")</f>
        <v>Baseline surveillance (random sampling)                    </v>
      </c>
      <c r="C825" s="29" t="str">
        <f>IFERROR(__xludf.DUMMYFUNCTION("""COMPUTED_VALUE"""),"GENEPIO:0100005")</f>
        <v>GENEPIO:0100005</v>
      </c>
      <c r="D825"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25" s="29"/>
      <c r="F825" s="29"/>
      <c r="G825" s="29"/>
      <c r="H825" s="54" t="s">
        <v>19</v>
      </c>
      <c r="I825" s="54" t="s">
        <v>19</v>
      </c>
      <c r="J825" s="54" t="s">
        <v>19</v>
      </c>
      <c r="K825" s="52" t="str">
        <f t="shared" si="57"/>
        <v>Mpox</v>
      </c>
      <c r="M825" s="55"/>
    </row>
    <row r="826">
      <c r="A826" s="29"/>
      <c r="B826" s="50" t="str">
        <f>IFERROR(__xludf.DUMMYFUNCTION("""COMPUTED_VALUE"""),"Targeted surveillance (non-random sampling)                    ")</f>
        <v>Targeted surveillance (non-random sampling)                    </v>
      </c>
      <c r="C826" s="29" t="str">
        <f>IFERROR(__xludf.DUMMYFUNCTION("""COMPUTED_VALUE"""),"GENEPIO:0100006")</f>
        <v>GENEPIO:0100006</v>
      </c>
      <c r="D826" s="29" t="str">
        <f>IFERROR(__xludf.DUMMYFUNCTION("""COMPUTED_VALUE"""),"A surveillance sampling strategy in which an aspired outcome is explicity stated.")</f>
        <v>A surveillance sampling strategy in which an aspired outcome is explicity stated.</v>
      </c>
      <c r="E826" s="29"/>
      <c r="F826" s="29"/>
      <c r="G826" s="29"/>
      <c r="H826" s="54" t="s">
        <v>19</v>
      </c>
      <c r="I826" s="54" t="s">
        <v>19</v>
      </c>
      <c r="J826" s="54" t="s">
        <v>19</v>
      </c>
      <c r="K826" s="52" t="str">
        <f t="shared" si="57"/>
        <v>Mpox</v>
      </c>
      <c r="M826" s="55"/>
    </row>
    <row r="827">
      <c r="A827" s="29"/>
      <c r="B827" s="50" t="str">
        <f>IFERROR(__xludf.DUMMYFUNCTION("""COMPUTED_VALUE"""),"     Priority surveillance project               ")</f>
        <v>     Priority surveillance project               </v>
      </c>
      <c r="C827" s="29" t="str">
        <f>IFERROR(__xludf.DUMMYFUNCTION("""COMPUTED_VALUE"""),"GENEPIO:0100007")</f>
        <v>GENEPIO:0100007</v>
      </c>
      <c r="D827" s="29" t="str">
        <f>IFERROR(__xludf.DUMMYFUNCTION("""COMPUTED_VALUE"""),"A targeted surveillance strategy which is considered important and/or urgent.")</f>
        <v>A targeted surveillance strategy which is considered important and/or urgent.</v>
      </c>
      <c r="E827" s="29"/>
      <c r="F827" s="29"/>
      <c r="G827" s="29"/>
      <c r="H827" s="54" t="s">
        <v>19</v>
      </c>
      <c r="I827" s="54" t="s">
        <v>19</v>
      </c>
      <c r="J827" s="54" t="s">
        <v>19</v>
      </c>
      <c r="K827" s="52" t="str">
        <f t="shared" si="57"/>
        <v>Mpox</v>
      </c>
      <c r="M827" s="55"/>
    </row>
    <row r="828">
      <c r="A828" s="29"/>
      <c r="B828" s="50" t="str">
        <f>IFERROR(__xludf.DUMMYFUNCTION("""COMPUTED_VALUE"""),"          Longitudinal surveillance (repeat sampling of individuals)          ")</f>
        <v>          Longitudinal surveillance (repeat sampling of individuals)          </v>
      </c>
      <c r="C828" s="29" t="str">
        <f>IFERROR(__xludf.DUMMYFUNCTION("""COMPUTED_VALUE"""),"GENEPIO:0100009")</f>
        <v>GENEPIO:0100009</v>
      </c>
      <c r="D828"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28" s="29"/>
      <c r="F828" s="29"/>
      <c r="G828" s="29"/>
      <c r="H828" s="54" t="s">
        <v>19</v>
      </c>
      <c r="I828" s="54" t="s">
        <v>19</v>
      </c>
      <c r="J828" s="54" t="s">
        <v>19</v>
      </c>
      <c r="K828" s="52" t="str">
        <f t="shared" si="57"/>
        <v>Mpox</v>
      </c>
      <c r="M828" s="55"/>
    </row>
    <row r="829">
      <c r="A829" s="29"/>
      <c r="B829" s="50" t="str">
        <f>IFERROR(__xludf.DUMMYFUNCTION("""COMPUTED_VALUE"""),"          Re-infection surveillance          ")</f>
        <v>          Re-infection surveillance          </v>
      </c>
      <c r="C829" s="29" t="str">
        <f>IFERROR(__xludf.DUMMYFUNCTION("""COMPUTED_VALUE"""),"GENEPIO:0100010")</f>
        <v>GENEPIO:0100010</v>
      </c>
      <c r="D829"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29" s="29"/>
      <c r="F829" s="29"/>
      <c r="G829" s="29"/>
      <c r="H829" s="54" t="s">
        <v>19</v>
      </c>
      <c r="I829" s="54" t="s">
        <v>19</v>
      </c>
      <c r="J829" s="54" t="s">
        <v>19</v>
      </c>
      <c r="K829" s="52" t="str">
        <f t="shared" si="57"/>
        <v>Mpox</v>
      </c>
      <c r="M829" s="55"/>
    </row>
    <row r="830">
      <c r="A830" s="29"/>
      <c r="B830" s="50" t="str">
        <f>IFERROR(__xludf.DUMMYFUNCTION("""COMPUTED_VALUE"""),"          Vaccine escape surveillance          ")</f>
        <v>          Vaccine escape surveillance          </v>
      </c>
      <c r="C830" s="29" t="str">
        <f>IFERROR(__xludf.DUMMYFUNCTION("""COMPUTED_VALUE"""),"GENEPIO:0100011")</f>
        <v>GENEPIO:0100011</v>
      </c>
      <c r="D830"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30" s="29"/>
      <c r="F830" s="29"/>
      <c r="G830" s="29"/>
      <c r="H830" s="54" t="s">
        <v>19</v>
      </c>
      <c r="I830" s="54" t="s">
        <v>19</v>
      </c>
      <c r="J830" s="54" t="s">
        <v>19</v>
      </c>
      <c r="K830" s="52" t="str">
        <f t="shared" si="57"/>
        <v>Mpox</v>
      </c>
      <c r="M830" s="55"/>
    </row>
    <row r="831">
      <c r="A831" s="29"/>
      <c r="B831" s="50" t="str">
        <f>IFERROR(__xludf.DUMMYFUNCTION("""COMPUTED_VALUE"""),"          Travel-associated surveillance          ")</f>
        <v>          Travel-associated surveillance          </v>
      </c>
      <c r="C831" s="29" t="str">
        <f>IFERROR(__xludf.DUMMYFUNCTION("""COMPUTED_VALUE"""),"GENEPIO:0100012")</f>
        <v>GENEPIO:0100012</v>
      </c>
      <c r="D831"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31" s="29"/>
      <c r="F831" s="29"/>
      <c r="G831" s="29"/>
      <c r="H831" s="54" t="s">
        <v>19</v>
      </c>
      <c r="I831" s="54" t="s">
        <v>19</v>
      </c>
      <c r="J831" s="54" t="s">
        <v>19</v>
      </c>
      <c r="K831" s="52" t="str">
        <f t="shared" si="57"/>
        <v>Mpox</v>
      </c>
      <c r="M831" s="55"/>
    </row>
    <row r="832">
      <c r="A832" s="29"/>
      <c r="B832" s="50" t="str">
        <f>IFERROR(__xludf.DUMMYFUNCTION("""COMPUTED_VALUE"""),"               Domestic travel surveillance     ")</f>
        <v>               Domestic travel surveillance     </v>
      </c>
      <c r="C832" s="29" t="str">
        <f>IFERROR(__xludf.DUMMYFUNCTION("""COMPUTED_VALUE"""),"GENEPIO:0100013")</f>
        <v>GENEPIO:0100013</v>
      </c>
      <c r="D832"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32" s="29"/>
      <c r="F832" s="29"/>
      <c r="G832" s="29"/>
      <c r="H832" s="54" t="s">
        <v>19</v>
      </c>
      <c r="I832" s="54" t="s">
        <v>19</v>
      </c>
      <c r="J832" s="54" t="s">
        <v>19</v>
      </c>
      <c r="K832" s="52" t="str">
        <f t="shared" si="57"/>
        <v>Mpox</v>
      </c>
      <c r="M832" s="55"/>
    </row>
    <row r="833">
      <c r="A833" s="29"/>
      <c r="B833" s="50" t="str">
        <f>IFERROR(__xludf.DUMMYFUNCTION("""COMPUTED_VALUE"""),"                    Interstate/ interprovincial travel surveillance")</f>
        <v>                    Interstate/ interprovincial travel surveillance</v>
      </c>
      <c r="C833" s="29" t="str">
        <f>IFERROR(__xludf.DUMMYFUNCTION("""COMPUTED_VALUE"""),"GENEPIO:0100275")</f>
        <v>GENEPIO:0100275</v>
      </c>
      <c r="D833"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33" s="29"/>
      <c r="F833" s="29"/>
      <c r="G833" s="29"/>
      <c r="H833" s="54" t="s">
        <v>19</v>
      </c>
      <c r="I833" s="54" t="s">
        <v>19</v>
      </c>
      <c r="J833" s="54" t="s">
        <v>19</v>
      </c>
      <c r="K833" s="52" t="str">
        <f t="shared" si="57"/>
        <v>Mpox</v>
      </c>
      <c r="M833" s="55"/>
    </row>
    <row r="834">
      <c r="A834" s="29"/>
      <c r="B834" s="50" t="str">
        <f>IFERROR(__xludf.DUMMYFUNCTION("""COMPUTED_VALUE"""),"                    Intra-state/ intra-provincial travel surveillance")</f>
        <v>                    Intra-state/ intra-provincial travel surveillance</v>
      </c>
      <c r="C834" s="29" t="str">
        <f>IFERROR(__xludf.DUMMYFUNCTION("""COMPUTED_VALUE"""),"GENEPIO:0100276")</f>
        <v>GENEPIO:0100276</v>
      </c>
      <c r="D834"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34" s="29"/>
      <c r="F834" s="29"/>
      <c r="G834" s="29"/>
      <c r="H834" s="54" t="s">
        <v>19</v>
      </c>
      <c r="I834" s="54" t="s">
        <v>19</v>
      </c>
      <c r="J834" s="54" t="s">
        <v>19</v>
      </c>
      <c r="K834" s="52" t="str">
        <f t="shared" si="57"/>
        <v>Mpox</v>
      </c>
    </row>
    <row r="835">
      <c r="A835" s="29"/>
      <c r="B835" s="50" t="str">
        <f>IFERROR(__xludf.DUMMYFUNCTION("""COMPUTED_VALUE"""),"               International travel surveillance     ")</f>
        <v>               International travel surveillance     </v>
      </c>
      <c r="C835" s="29" t="str">
        <f>IFERROR(__xludf.DUMMYFUNCTION("""COMPUTED_VALUE"""),"GENEPIO:0100014")</f>
        <v>GENEPIO:0100014</v>
      </c>
      <c r="D835"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35" s="29"/>
      <c r="F835" s="29"/>
      <c r="G835" s="29"/>
      <c r="H835" s="54" t="s">
        <v>19</v>
      </c>
      <c r="I835" s="54" t="s">
        <v>19</v>
      </c>
      <c r="J835" s="54" t="s">
        <v>19</v>
      </c>
      <c r="K835" s="52" t="str">
        <f t="shared" si="57"/>
        <v>Mpox</v>
      </c>
      <c r="M835" s="56"/>
    </row>
    <row r="836">
      <c r="A836" s="29"/>
      <c r="B836" s="50" t="str">
        <f>IFERROR(__xludf.DUMMYFUNCTION("""COMPUTED_VALUE"""),"Cluster/Outbreak investigation                    ")</f>
        <v>Cluster/Outbreak investigation                    </v>
      </c>
      <c r="C836" s="29" t="str">
        <f>IFERROR(__xludf.DUMMYFUNCTION("""COMPUTED_VALUE"""),"GENEPIO:0100019")</f>
        <v>GENEPIO:0100019</v>
      </c>
      <c r="D836" s="29" t="str">
        <f>IFERROR(__xludf.DUMMYFUNCTION("""COMPUTED_VALUE"""),"A sampling strategy in which individuals are chosen for investigation into a disease cluster or outbreak.")</f>
        <v>A sampling strategy in which individuals are chosen for investigation into a disease cluster or outbreak.</v>
      </c>
      <c r="E836" s="29"/>
      <c r="F836" s="29"/>
      <c r="G836" s="29"/>
      <c r="H836" s="54" t="s">
        <v>19</v>
      </c>
      <c r="I836" s="54" t="s">
        <v>19</v>
      </c>
      <c r="J836" s="54" t="s">
        <v>19</v>
      </c>
      <c r="K836" s="52" t="str">
        <f t="shared" si="57"/>
        <v>Mpox</v>
      </c>
      <c r="M836" s="55"/>
    </row>
    <row r="837">
      <c r="A837" s="29"/>
      <c r="B837" s="50" t="str">
        <f>IFERROR(__xludf.DUMMYFUNCTION("""COMPUTED_VALUE"""),"     Multi-jurisdictional outbreak investigation               ")</f>
        <v>     Multi-jurisdictional outbreak investigation               </v>
      </c>
      <c r="C837" s="29" t="str">
        <f>IFERROR(__xludf.DUMMYFUNCTION("""COMPUTED_VALUE"""),"GENEPIO:0100020")</f>
        <v>GENEPIO:0100020</v>
      </c>
      <c r="D837"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37" s="29"/>
      <c r="F837" s="29"/>
      <c r="G837" s="29"/>
      <c r="H837" s="54" t="s">
        <v>19</v>
      </c>
      <c r="I837" s="54" t="s">
        <v>19</v>
      </c>
      <c r="J837" s="54" t="s">
        <v>19</v>
      </c>
      <c r="K837" s="52" t="str">
        <f t="shared" si="57"/>
        <v>Mpox</v>
      </c>
      <c r="M837" s="55"/>
    </row>
    <row r="838">
      <c r="A838" s="29"/>
      <c r="B838" s="50" t="str">
        <f>IFERROR(__xludf.DUMMYFUNCTION("""COMPUTED_VALUE"""),"     Intra-jurisdictional outbreak investigation               ")</f>
        <v>     Intra-jurisdictional outbreak investigation               </v>
      </c>
      <c r="C838" s="29" t="str">
        <f>IFERROR(__xludf.DUMMYFUNCTION("""COMPUTED_VALUE"""),"GENEPIO:0100021")</f>
        <v>GENEPIO:0100021</v>
      </c>
      <c r="D838"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38" s="29"/>
      <c r="F838" s="29"/>
      <c r="G838" s="29"/>
      <c r="H838" s="54" t="s">
        <v>19</v>
      </c>
      <c r="I838" s="54" t="s">
        <v>19</v>
      </c>
      <c r="J838" s="54" t="s">
        <v>19</v>
      </c>
      <c r="K838" s="52" t="str">
        <f t="shared" si="57"/>
        <v>Mpox</v>
      </c>
      <c r="M838" s="55"/>
    </row>
    <row r="839">
      <c r="A839" s="29"/>
      <c r="B839" s="50" t="str">
        <f>IFERROR(__xludf.DUMMYFUNCTION("""COMPUTED_VALUE"""),"Research                    ")</f>
        <v>Research                    </v>
      </c>
      <c r="C839" s="29" t="str">
        <f>IFERROR(__xludf.DUMMYFUNCTION("""COMPUTED_VALUE"""),"GENEPIO:0100022")</f>
        <v>GENEPIO:0100022</v>
      </c>
      <c r="D839" s="29" t="str">
        <f>IFERROR(__xludf.DUMMYFUNCTION("""COMPUTED_VALUE"""),"A sampling strategy in which individuals are sampled in order to perform research.")</f>
        <v>A sampling strategy in which individuals are sampled in order to perform research.</v>
      </c>
      <c r="E839" s="29"/>
      <c r="F839" s="29"/>
      <c r="G839" s="29"/>
      <c r="H839" s="54" t="s">
        <v>19</v>
      </c>
      <c r="I839" s="54" t="s">
        <v>19</v>
      </c>
      <c r="J839" s="54" t="s">
        <v>19</v>
      </c>
      <c r="K839" s="52" t="str">
        <f t="shared" si="57"/>
        <v>Mpox</v>
      </c>
      <c r="M839" s="55"/>
    </row>
    <row r="840">
      <c r="A840" s="29"/>
      <c r="B840" s="50" t="str">
        <f>IFERROR(__xludf.DUMMYFUNCTION("""COMPUTED_VALUE"""),"     Viral passage experiment               ")</f>
        <v>     Viral passage experiment               </v>
      </c>
      <c r="C840" s="29" t="str">
        <f>IFERROR(__xludf.DUMMYFUNCTION("""COMPUTED_VALUE"""),"GENEPIO:0100023")</f>
        <v>GENEPIO:0100023</v>
      </c>
      <c r="D840"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40" s="29"/>
      <c r="F840" s="29"/>
      <c r="G840" s="29"/>
      <c r="H840" s="54" t="s">
        <v>19</v>
      </c>
      <c r="I840" s="54" t="s">
        <v>19</v>
      </c>
      <c r="J840" s="54" t="s">
        <v>19</v>
      </c>
      <c r="K840" s="52" t="str">
        <f t="shared" si="57"/>
        <v>Mpox</v>
      </c>
      <c r="M840" s="55"/>
    </row>
    <row r="841">
      <c r="A841" s="29"/>
      <c r="B841" s="50" t="str">
        <f>IFERROR(__xludf.DUMMYFUNCTION("""COMPUTED_VALUE"""),"     Protocol testing experiment               ")</f>
        <v>     Protocol testing experiment               </v>
      </c>
      <c r="C841" s="29" t="str">
        <f>IFERROR(__xludf.DUMMYFUNCTION("""COMPUTED_VALUE"""),"GENEPIO:0100024")</f>
        <v>GENEPIO:0100024</v>
      </c>
      <c r="D841"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41" s="29"/>
      <c r="F841" s="29"/>
      <c r="G841" s="29"/>
      <c r="H841" s="54"/>
      <c r="I841" s="54"/>
      <c r="J841" s="54"/>
      <c r="K841" s="53" t="s">
        <v>31</v>
      </c>
      <c r="L841" s="29" t="str">
        <f>LEFT(A841, LEN(A841) - 5)
</f>
        <v>#VALUE!</v>
      </c>
      <c r="M841" s="58" t="s">
        <v>32</v>
      </c>
    </row>
    <row r="842">
      <c r="A842" s="29"/>
      <c r="B842" s="50" t="str">
        <f>IFERROR(__xludf.DUMMYFUNCTION("""COMPUTED_VALUE"""),"Retrospective sequencing                    ")</f>
        <v>Retrospective sequencing                    </v>
      </c>
      <c r="C842" s="29" t="str">
        <f>IFERROR(__xludf.DUMMYFUNCTION("""COMPUTED_VALUE"""),"GENEPIO:0100356")</f>
        <v>GENEPIO:0100356</v>
      </c>
      <c r="D842" s="29" t="str">
        <f>IFERROR(__xludf.DUMMYFUNCTION("""COMPUTED_VALUE"""),"A sampling strategy in which stored samples from past events are sequenced.")</f>
        <v>A sampling strategy in which stored samples from past events are sequenced.</v>
      </c>
      <c r="E842" s="29"/>
      <c r="F842" s="29"/>
      <c r="G842" s="29"/>
      <c r="H842" s="54" t="s">
        <v>19</v>
      </c>
      <c r="I842" s="54" t="s">
        <v>19</v>
      </c>
      <c r="J842" s="54" t="s">
        <v>19</v>
      </c>
      <c r="K842" s="52" t="str">
        <f t="shared" ref="K842:K859" si="58">K841</f>
        <v>International</v>
      </c>
      <c r="M842" s="55"/>
    </row>
    <row r="843">
      <c r="A843" s="53" t="str">
        <f>IFERROR(__xludf.DUMMYFUNCTION("""COMPUTED_VALUE"""),"purpose of sequencing international menu")</f>
        <v>purpose of sequencing international menu</v>
      </c>
      <c r="B843" s="50" t="str">
        <f>IFERROR(__xludf.DUMMYFUNCTION("""COMPUTED_VALUE"""),"                    ")</f>
        <v>                    </v>
      </c>
      <c r="C843" s="53"/>
      <c r="D843" s="29" t="str">
        <f>IFERROR(__xludf.DUMMYFUNCTION("""COMPUTED_VALUE"""),"")</f>
        <v/>
      </c>
      <c r="E843" s="53"/>
      <c r="F843" s="53"/>
      <c r="G843" s="53"/>
      <c r="H843" s="54" t="s">
        <v>19</v>
      </c>
      <c r="I843" s="54" t="s">
        <v>19</v>
      </c>
      <c r="J843" s="54" t="s">
        <v>19</v>
      </c>
      <c r="K843" s="52" t="str">
        <f t="shared" si="58"/>
        <v>International</v>
      </c>
      <c r="M843" s="55"/>
    </row>
    <row r="844">
      <c r="A844" s="53"/>
      <c r="B844" s="50" t="str">
        <f>IFERROR(__xludf.DUMMYFUNCTION("""COMPUTED_VALUE"""),"Baseline surveillance (random sampling) [GENEPIO:0100005]                    ")</f>
        <v>Baseline surveillance (random sampling) [GENEPIO:0100005]                    </v>
      </c>
      <c r="C844" s="53" t="str">
        <f>IFERROR(__xludf.DUMMYFUNCTION("""COMPUTED_VALUE"""),"GENEPIO:0100005")</f>
        <v>GENEPIO:0100005</v>
      </c>
      <c r="D844"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44" s="52" t="s">
        <v>19</v>
      </c>
      <c r="I844" s="52" t="s">
        <v>19</v>
      </c>
      <c r="J844" s="52" t="s">
        <v>19</v>
      </c>
      <c r="K844" s="52" t="str">
        <f t="shared" si="58"/>
        <v>International</v>
      </c>
      <c r="M844" s="55"/>
    </row>
    <row r="845">
      <c r="A845" s="53"/>
      <c r="B845" s="50" t="str">
        <f>IFERROR(__xludf.DUMMYFUNCTION("""COMPUTED_VALUE"""),"Targeted surveillance (non-random sampling) [GENEPIO:0100006]                    ")</f>
        <v>Targeted surveillance (non-random sampling) [GENEPIO:0100006]                    </v>
      </c>
      <c r="C845" s="53" t="str">
        <f>IFERROR(__xludf.DUMMYFUNCTION("""COMPUTED_VALUE"""),"GENEPIO:0100006")</f>
        <v>GENEPIO:0100006</v>
      </c>
      <c r="D845" s="29" t="str">
        <f>IFERROR(__xludf.DUMMYFUNCTION("""COMPUTED_VALUE"""),"A surveillance sampling strategy in which an aspired outcome is explicity stated.")</f>
        <v>A surveillance sampling strategy in which an aspired outcome is explicity stated.</v>
      </c>
      <c r="H845" s="52" t="s">
        <v>19</v>
      </c>
      <c r="I845" s="52" t="s">
        <v>19</v>
      </c>
      <c r="J845" s="52" t="s">
        <v>19</v>
      </c>
      <c r="K845" s="52" t="str">
        <f t="shared" si="58"/>
        <v>International</v>
      </c>
      <c r="M845" s="55"/>
    </row>
    <row r="846">
      <c r="A846" s="53"/>
      <c r="B846" s="50" t="str">
        <f>IFERROR(__xludf.DUMMYFUNCTION("""COMPUTED_VALUE"""),"     Priority surveillance project [GENEPIO:0100007]               ")</f>
        <v>     Priority surveillance project [GENEPIO:0100007]               </v>
      </c>
      <c r="C846" s="53" t="str">
        <f>IFERROR(__xludf.DUMMYFUNCTION("""COMPUTED_VALUE"""),"GENEPIO:0100007")</f>
        <v>GENEPIO:0100007</v>
      </c>
      <c r="D846" s="29" t="str">
        <f>IFERROR(__xludf.DUMMYFUNCTION("""COMPUTED_VALUE"""),"A targeted surveillance strategy which is considered important and/or urgent.")</f>
        <v>A targeted surveillance strategy which is considered important and/or urgent.</v>
      </c>
      <c r="H846" s="52" t="s">
        <v>19</v>
      </c>
      <c r="I846" s="52" t="s">
        <v>19</v>
      </c>
      <c r="J846" s="52" t="s">
        <v>19</v>
      </c>
      <c r="K846" s="52" t="str">
        <f t="shared" si="58"/>
        <v>International</v>
      </c>
      <c r="M846" s="55"/>
    </row>
    <row r="847">
      <c r="A847" s="53"/>
      <c r="B847" s="50" t="str">
        <f>IFERROR(__xludf.DUMMYFUNCTION("""COMPUTED_VALUE"""),"          Longitudinal surveillance (repeat sampling of individuals) [GENEPIO:0100009]          ")</f>
        <v>          Longitudinal surveillance (repeat sampling of individuals) [GENEPIO:0100009]          </v>
      </c>
      <c r="C847" s="53" t="str">
        <f>IFERROR(__xludf.DUMMYFUNCTION("""COMPUTED_VALUE"""),"GENEPIO:0100009")</f>
        <v>GENEPIO:0100009</v>
      </c>
      <c r="D847"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47" s="52" t="s">
        <v>19</v>
      </c>
      <c r="I847" s="52" t="s">
        <v>19</v>
      </c>
      <c r="J847" s="52" t="s">
        <v>19</v>
      </c>
      <c r="K847" s="52" t="str">
        <f t="shared" si="58"/>
        <v>International</v>
      </c>
      <c r="M847" s="55"/>
    </row>
    <row r="848">
      <c r="A848" s="53"/>
      <c r="B848" s="50" t="str">
        <f>IFERROR(__xludf.DUMMYFUNCTION("""COMPUTED_VALUE"""),"          Re-infection surveillance [GENEPIO:0100010]          ")</f>
        <v>          Re-infection surveillance [GENEPIO:0100010]          </v>
      </c>
      <c r="C848" s="53" t="str">
        <f>IFERROR(__xludf.DUMMYFUNCTION("""COMPUTED_VALUE"""),"GENEPIO:0100010")</f>
        <v>GENEPIO:0100010</v>
      </c>
      <c r="D848"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48" s="52" t="s">
        <v>19</v>
      </c>
      <c r="I848" s="52" t="s">
        <v>19</v>
      </c>
      <c r="J848" s="52" t="s">
        <v>19</v>
      </c>
      <c r="K848" s="52" t="str">
        <f t="shared" si="58"/>
        <v>International</v>
      </c>
      <c r="M848" s="55"/>
    </row>
    <row r="849">
      <c r="A849" s="53"/>
      <c r="B849" s="50" t="str">
        <f>IFERROR(__xludf.DUMMYFUNCTION("""COMPUTED_VALUE"""),"          Vaccine escape surveillance [GENEPIO:0100011]          ")</f>
        <v>          Vaccine escape surveillance [GENEPIO:0100011]          </v>
      </c>
      <c r="C849" s="53" t="str">
        <f>IFERROR(__xludf.DUMMYFUNCTION("""COMPUTED_VALUE"""),"GENEPIO:0100011")</f>
        <v>GENEPIO:0100011</v>
      </c>
      <c r="D849"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49" s="52" t="s">
        <v>19</v>
      </c>
      <c r="I849" s="52" t="s">
        <v>19</v>
      </c>
      <c r="J849" s="52" t="s">
        <v>19</v>
      </c>
      <c r="K849" s="52" t="str">
        <f t="shared" si="58"/>
        <v>International</v>
      </c>
      <c r="M849" s="55"/>
    </row>
    <row r="850">
      <c r="A850" s="53"/>
      <c r="B850" s="50" t="str">
        <f>IFERROR(__xludf.DUMMYFUNCTION("""COMPUTED_VALUE"""),"          Travel-associated surveillance [GENEPIO:0100012]          ")</f>
        <v>          Travel-associated surveillance [GENEPIO:0100012]          </v>
      </c>
      <c r="C850" s="53" t="str">
        <f>IFERROR(__xludf.DUMMYFUNCTION("""COMPUTED_VALUE"""),"GENEPIO:0100012")</f>
        <v>GENEPIO:0100012</v>
      </c>
      <c r="D850"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50" s="52" t="s">
        <v>19</v>
      </c>
      <c r="I850" s="52" t="s">
        <v>19</v>
      </c>
      <c r="J850" s="52" t="s">
        <v>19</v>
      </c>
      <c r="K850" s="52" t="str">
        <f t="shared" si="58"/>
        <v>International</v>
      </c>
      <c r="M850" s="55"/>
    </row>
    <row r="851">
      <c r="A851" s="53"/>
      <c r="B851" s="50" t="str">
        <f>IFERROR(__xludf.DUMMYFUNCTION("""COMPUTED_VALUE"""),"               Domestic travel surveillance [GENEPIO:0100013]     ")</f>
        <v>               Domestic travel surveillance [GENEPIO:0100013]     </v>
      </c>
      <c r="C851" s="53" t="str">
        <f>IFERROR(__xludf.DUMMYFUNCTION("""COMPUTED_VALUE"""),"GENEPIO:0100013")</f>
        <v>GENEPIO:0100013</v>
      </c>
      <c r="D851"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51" s="52" t="s">
        <v>19</v>
      </c>
      <c r="I851" s="52" t="s">
        <v>19</v>
      </c>
      <c r="J851" s="52" t="s">
        <v>19</v>
      </c>
      <c r="K851" s="52" t="str">
        <f t="shared" si="58"/>
        <v>International</v>
      </c>
      <c r="M851" s="55"/>
    </row>
    <row r="852">
      <c r="A852" s="53"/>
      <c r="B852" s="50" t="str">
        <f>IFERROR(__xludf.DUMMYFUNCTION("""COMPUTED_VALUE"""),"                    Interstate/ interprovincial travel surveillance [GENEPIO:0100275]")</f>
        <v>                    Interstate/ interprovincial travel surveillance [GENEPIO:0100275]</v>
      </c>
      <c r="C852" s="53" t="str">
        <f>IFERROR(__xludf.DUMMYFUNCTION("""COMPUTED_VALUE"""),"GENEPIO:0100275")</f>
        <v>GENEPIO:0100275</v>
      </c>
      <c r="D852"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H852" s="52" t="s">
        <v>19</v>
      </c>
      <c r="I852" s="52" t="s">
        <v>19</v>
      </c>
      <c r="J852" s="52" t="s">
        <v>19</v>
      </c>
      <c r="K852" s="52" t="str">
        <f t="shared" si="58"/>
        <v>International</v>
      </c>
      <c r="M852" s="55"/>
    </row>
    <row r="853">
      <c r="A853" s="53"/>
      <c r="B853" s="50" t="str">
        <f>IFERROR(__xludf.DUMMYFUNCTION("""COMPUTED_VALUE"""),"                    Intra-state/ intra-provincial travel surveillance [GENEPIO:0100276]")</f>
        <v>                    Intra-state/ intra-provincial travel surveillance [GENEPIO:0100276]</v>
      </c>
      <c r="C853" s="53" t="str">
        <f>IFERROR(__xludf.DUMMYFUNCTION("""COMPUTED_VALUE"""),"GENEPIO:0100276")</f>
        <v>GENEPIO:0100276</v>
      </c>
      <c r="D853"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53" s="54" t="s">
        <v>19</v>
      </c>
      <c r="I853" s="54" t="s">
        <v>19</v>
      </c>
      <c r="J853" s="54" t="s">
        <v>19</v>
      </c>
      <c r="K853" s="52" t="str">
        <f t="shared" si="58"/>
        <v>International</v>
      </c>
    </row>
    <row r="854">
      <c r="A854" s="53"/>
      <c r="B854" s="50" t="str">
        <f>IFERROR(__xludf.DUMMYFUNCTION("""COMPUTED_VALUE"""),"               International travel surveillance [GENEPIO:0100014]     ")</f>
        <v>               International travel surveillance [GENEPIO:0100014]     </v>
      </c>
      <c r="C854" s="53" t="str">
        <f>IFERROR(__xludf.DUMMYFUNCTION("""COMPUTED_VALUE"""),"GENEPIO:0100014")</f>
        <v>GENEPIO:0100014</v>
      </c>
      <c r="D854"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54" s="52" t="s">
        <v>19</v>
      </c>
      <c r="I854" s="52" t="s">
        <v>19</v>
      </c>
      <c r="J854" s="52" t="s">
        <v>19</v>
      </c>
      <c r="K854" s="52" t="str">
        <f t="shared" si="58"/>
        <v>International</v>
      </c>
      <c r="M854" s="56"/>
    </row>
    <row r="855">
      <c r="A855" s="53"/>
      <c r="B855" s="50" t="str">
        <f>IFERROR(__xludf.DUMMYFUNCTION("""COMPUTED_VALUE"""),"Cluster/Outbreak investigation [GENEPIO:0100019]                    ")</f>
        <v>Cluster/Outbreak investigation [GENEPIO:0100019]                    </v>
      </c>
      <c r="C855" s="53" t="str">
        <f>IFERROR(__xludf.DUMMYFUNCTION("""COMPUTED_VALUE"""),"GENEPIO:0100019")</f>
        <v>GENEPIO:0100019</v>
      </c>
      <c r="D855" s="29" t="str">
        <f>IFERROR(__xludf.DUMMYFUNCTION("""COMPUTED_VALUE"""),"A sampling strategy in which individuals are chosen for investigation into a disease cluster or outbreak.")</f>
        <v>A sampling strategy in which individuals are chosen for investigation into a disease cluster or outbreak.</v>
      </c>
      <c r="H855" s="52" t="s">
        <v>19</v>
      </c>
      <c r="I855" s="52" t="s">
        <v>19</v>
      </c>
      <c r="J855" s="52" t="s">
        <v>19</v>
      </c>
      <c r="K855" s="52" t="str">
        <f t="shared" si="58"/>
        <v>International</v>
      </c>
      <c r="M855" s="55"/>
    </row>
    <row r="856">
      <c r="A856" s="53"/>
      <c r="B856" s="50" t="str">
        <f>IFERROR(__xludf.DUMMYFUNCTION("""COMPUTED_VALUE"""),"     Multi-jurisdictional outbreak investigation [GENEPIO:0100020]               ")</f>
        <v>     Multi-jurisdictional outbreak investigation [GENEPIO:0100020]               </v>
      </c>
      <c r="C856" s="53" t="str">
        <f>IFERROR(__xludf.DUMMYFUNCTION("""COMPUTED_VALUE"""),"GENEPIO:0100020")</f>
        <v>GENEPIO:0100020</v>
      </c>
      <c r="D856"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56" s="52" t="s">
        <v>19</v>
      </c>
      <c r="I856" s="52" t="s">
        <v>19</v>
      </c>
      <c r="J856" s="52" t="s">
        <v>19</v>
      </c>
      <c r="K856" s="52" t="str">
        <f t="shared" si="58"/>
        <v>International</v>
      </c>
      <c r="M856" s="55"/>
    </row>
    <row r="857">
      <c r="A857" s="53"/>
      <c r="B857" s="50" t="str">
        <f>IFERROR(__xludf.DUMMYFUNCTION("""COMPUTED_VALUE"""),"     Intra-jurisdictional outbreak investigation [GENEPIO:0100021]               ")</f>
        <v>     Intra-jurisdictional outbreak investigation [GENEPIO:0100021]               </v>
      </c>
      <c r="C857" s="53" t="str">
        <f>IFERROR(__xludf.DUMMYFUNCTION("""COMPUTED_VALUE"""),"GENEPIO:0100021")</f>
        <v>GENEPIO:0100021</v>
      </c>
      <c r="D857"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57" s="52" t="s">
        <v>19</v>
      </c>
      <c r="I857" s="52" t="s">
        <v>19</v>
      </c>
      <c r="J857" s="52" t="s">
        <v>19</v>
      </c>
      <c r="K857" s="52" t="str">
        <f t="shared" si="58"/>
        <v>International</v>
      </c>
      <c r="M857" s="55"/>
    </row>
    <row r="858">
      <c r="A858" s="53"/>
      <c r="B858" s="50" t="str">
        <f>IFERROR(__xludf.DUMMYFUNCTION("""COMPUTED_VALUE"""),"Research [GENEPIO:0100022]                    ")</f>
        <v>Research [GENEPIO:0100022]                    </v>
      </c>
      <c r="C858" s="53" t="str">
        <f>IFERROR(__xludf.DUMMYFUNCTION("""COMPUTED_VALUE"""),"GENEPIO:0100022")</f>
        <v>GENEPIO:0100022</v>
      </c>
      <c r="D858" s="29" t="str">
        <f>IFERROR(__xludf.DUMMYFUNCTION("""COMPUTED_VALUE"""),"A sampling strategy in which individuals are sampled in order to perform research.")</f>
        <v>A sampling strategy in which individuals are sampled in order to perform research.</v>
      </c>
      <c r="H858" s="52" t="s">
        <v>19</v>
      </c>
      <c r="I858" s="52" t="s">
        <v>19</v>
      </c>
      <c r="J858" s="52" t="s">
        <v>19</v>
      </c>
      <c r="K858" s="52" t="str">
        <f t="shared" si="58"/>
        <v>International</v>
      </c>
      <c r="M858" s="55"/>
    </row>
    <row r="859">
      <c r="A859" s="53"/>
      <c r="B859" s="50" t="str">
        <f>IFERROR(__xludf.DUMMYFUNCTION("""COMPUTED_VALUE"""),"     Viral passage experiment [GENEPIO:0100023]               ")</f>
        <v>     Viral passage experiment [GENEPIO:0100023]               </v>
      </c>
      <c r="C859" s="53" t="str">
        <f>IFERROR(__xludf.DUMMYFUNCTION("""COMPUTED_VALUE"""),"GENEPIO:0100023")</f>
        <v>GENEPIO:0100023</v>
      </c>
      <c r="D859"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59" s="54" t="s">
        <v>19</v>
      </c>
      <c r="I859" s="54" t="s">
        <v>19</v>
      </c>
      <c r="J859" s="54" t="s">
        <v>19</v>
      </c>
      <c r="K859" s="52" t="str">
        <f t="shared" si="58"/>
        <v>International</v>
      </c>
    </row>
    <row r="860">
      <c r="A860" s="53"/>
      <c r="B860" s="50" t="str">
        <f>IFERROR(__xludf.DUMMYFUNCTION("""COMPUTED_VALUE"""),"     Protocol testing experiment [GENEPIO:0100024]               ")</f>
        <v>     Protocol testing experiment [GENEPIO:0100024]               </v>
      </c>
      <c r="C860" s="53" t="str">
        <f>IFERROR(__xludf.DUMMYFUNCTION("""COMPUTED_VALUE"""),"GENEPIO:0100024")</f>
        <v>GENEPIO:0100024</v>
      </c>
      <c r="D860"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60" s="52"/>
      <c r="I860" s="52"/>
      <c r="J860" s="52"/>
      <c r="K860" s="53" t="s">
        <v>29</v>
      </c>
      <c r="L860" s="53" t="str">
        <f>LEFT(A860, LEN(A860) - 5)
</f>
        <v>#VALUE!</v>
      </c>
      <c r="M860" s="60" t="s">
        <v>29</v>
      </c>
    </row>
    <row r="861">
      <c r="A861" s="53"/>
      <c r="B861" s="50" t="str">
        <f>IFERROR(__xludf.DUMMYFUNCTION("""COMPUTED_VALUE"""),"Retrospective sequencing [GENEPIO:0100356]                    ")</f>
        <v>Retrospective sequencing [GENEPIO:0100356]                    </v>
      </c>
      <c r="C861" s="53" t="str">
        <f>IFERROR(__xludf.DUMMYFUNCTION("""COMPUTED_VALUE"""),"GENEPIO:0100356")</f>
        <v>GENEPIO:0100356</v>
      </c>
      <c r="D861" s="29" t="str">
        <f>IFERROR(__xludf.DUMMYFUNCTION("""COMPUTED_VALUE"""),"A sampling strategy in which stored samples from past events are sequenced.")</f>
        <v>A sampling strategy in which stored samples from past events are sequenced.</v>
      </c>
      <c r="H861" s="52" t="s">
        <v>19</v>
      </c>
      <c r="I861" s="52" t="s">
        <v>19</v>
      </c>
      <c r="J861" s="52" t="s">
        <v>19</v>
      </c>
      <c r="K861" s="52" t="str">
        <f t="shared" ref="K861:K865" si="59">K860</f>
        <v>Mpox</v>
      </c>
      <c r="M861" s="55"/>
    </row>
    <row r="862">
      <c r="A862" s="53" t="str">
        <f>IFERROR(__xludf.DUMMYFUNCTION("""COMPUTED_VALUE"""),"sequencing assay type menu")</f>
        <v>sequencing assay type menu</v>
      </c>
      <c r="B862" s="50" t="str">
        <f>IFERROR(__xludf.DUMMYFUNCTION("""COMPUTED_VALUE"""),"                    ")</f>
        <v>                    </v>
      </c>
      <c r="C862" s="53"/>
      <c r="D862" s="29"/>
      <c r="E862" s="53"/>
      <c r="F862" s="53"/>
      <c r="G862" s="53"/>
      <c r="H862" s="52" t="s">
        <v>19</v>
      </c>
      <c r="I862" s="52" t="s">
        <v>19</v>
      </c>
      <c r="J862" s="52" t="s">
        <v>19</v>
      </c>
      <c r="K862" s="52" t="str">
        <f t="shared" si="59"/>
        <v>Mpox</v>
      </c>
      <c r="M862" s="55"/>
    </row>
    <row r="863">
      <c r="A863" s="53"/>
      <c r="B863" s="50" t="str">
        <f>IFERROR(__xludf.DUMMYFUNCTION("""COMPUTED_VALUE"""),"Amplicon sequencing assay                    ")</f>
        <v>Amplicon sequencing assay                    </v>
      </c>
      <c r="C863" s="53" t="str">
        <f>IFERROR(__xludf.DUMMYFUNCTION("""COMPUTED_VALUE"""),"OBI:0002767")</f>
        <v>OBI:0002767</v>
      </c>
      <c r="D863" s="29" t="str">
        <f>IFERROR(__xludf.DUMMYFUNCTION("""COMPUTED_VALUE"""),"A sequencing assay in which a DNA or RNA input molecule is amplified by PCR and the product sequenced.")</f>
        <v>A sequencing assay in which a DNA or RNA input molecule is amplified by PCR and the product sequenced.</v>
      </c>
      <c r="H863" s="52" t="s">
        <v>19</v>
      </c>
      <c r="I863" s="52" t="s">
        <v>19</v>
      </c>
      <c r="J863" s="52" t="s">
        <v>19</v>
      </c>
      <c r="K863" s="52" t="str">
        <f t="shared" si="59"/>
        <v>Mpox</v>
      </c>
      <c r="M863" s="55"/>
    </row>
    <row r="864">
      <c r="A864" s="53"/>
      <c r="B864" s="50" t="str">
        <f>IFERROR(__xludf.DUMMYFUNCTION("""COMPUTED_VALUE"""),"     16S ribosomal gene sequencing assay               ")</f>
        <v>     16S ribosomal gene sequencing assay               </v>
      </c>
      <c r="C864" s="53" t="str">
        <f>IFERROR(__xludf.DUMMYFUNCTION("""COMPUTED_VALUE"""),"OBI:0002763")</f>
        <v>OBI:0002763</v>
      </c>
      <c r="D864"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64" s="52" t="s">
        <v>19</v>
      </c>
      <c r="I864" s="52" t="s">
        <v>19</v>
      </c>
      <c r="J864" s="52" t="s">
        <v>19</v>
      </c>
      <c r="K864" s="52" t="str">
        <f t="shared" si="59"/>
        <v>Mpox</v>
      </c>
      <c r="M864" s="55"/>
    </row>
    <row r="865">
      <c r="A865" s="53"/>
      <c r="B865" s="50" t="str">
        <f>IFERROR(__xludf.DUMMYFUNCTION("""COMPUTED_VALUE"""),"Whole genome sequencing assay                    ")</f>
        <v>Whole genome sequencing assay                    </v>
      </c>
      <c r="C865" s="53" t="str">
        <f>IFERROR(__xludf.DUMMYFUNCTION("""COMPUTED_VALUE"""),"OBI:0002117")</f>
        <v>OBI:0002117</v>
      </c>
      <c r="D865"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65" s="52" t="s">
        <v>19</v>
      </c>
      <c r="I865" s="52" t="s">
        <v>19</v>
      </c>
      <c r="J865" s="52" t="s">
        <v>19</v>
      </c>
      <c r="K865" s="52" t="str">
        <f t="shared" si="59"/>
        <v>Mpox</v>
      </c>
      <c r="M865" s="57"/>
    </row>
    <row r="866">
      <c r="A866" s="53"/>
      <c r="B866" s="50" t="str">
        <f>IFERROR(__xludf.DUMMYFUNCTION("""COMPUTED_VALUE"""),"Whole metagenome sequencing assay                    ")</f>
        <v>Whole metagenome sequencing assay                    </v>
      </c>
      <c r="C866" s="53" t="str">
        <f>IFERROR(__xludf.DUMMYFUNCTION("""COMPUTED_VALUE"""),"OBI:0002623")</f>
        <v>OBI:0002623</v>
      </c>
      <c r="D866"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66" s="52"/>
      <c r="I866" s="52"/>
      <c r="J866" s="52"/>
      <c r="K866" s="53" t="s">
        <v>31</v>
      </c>
      <c r="L866" s="29" t="str">
        <f>LEFT(A866, LEN(A866) - 5)
</f>
        <v>#VALUE!</v>
      </c>
      <c r="M866" s="58" t="s">
        <v>32</v>
      </c>
    </row>
    <row r="867">
      <c r="A867" s="53"/>
      <c r="B867" s="50" t="str">
        <f>IFERROR(__xludf.DUMMYFUNCTION("""COMPUTED_VALUE"""),"     Whole virome sequencing assay               ")</f>
        <v>     Whole virome sequencing assay               </v>
      </c>
      <c r="C867" s="53" t="str">
        <f>IFERROR(__xludf.DUMMYFUNCTION("""COMPUTED_VALUE"""),"OBI:0002768")</f>
        <v>OBI:0002768</v>
      </c>
      <c r="D867"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67" s="52" t="s">
        <v>19</v>
      </c>
      <c r="I867" s="52" t="s">
        <v>19</v>
      </c>
      <c r="J867" s="52" t="s">
        <v>19</v>
      </c>
      <c r="K867" s="52" t="str">
        <f t="shared" ref="K867:K872" si="60">K866</f>
        <v>International</v>
      </c>
      <c r="M867" s="56"/>
    </row>
    <row r="868">
      <c r="A868" s="53" t="str">
        <f>IFERROR(__xludf.DUMMYFUNCTION("""COMPUTED_VALUE"""),"sequencing assay type international menu")</f>
        <v>sequencing assay type international menu</v>
      </c>
      <c r="B868" s="50" t="str">
        <f>IFERROR(__xludf.DUMMYFUNCTION("""COMPUTED_VALUE"""),"                    ")</f>
        <v>                    </v>
      </c>
      <c r="C868" s="53"/>
      <c r="D868" s="29"/>
      <c r="E868" s="53"/>
      <c r="F868" s="53"/>
      <c r="G868" s="53"/>
      <c r="H868" s="52" t="s">
        <v>19</v>
      </c>
      <c r="I868" s="52" t="s">
        <v>19</v>
      </c>
      <c r="J868" s="52" t="s">
        <v>19</v>
      </c>
      <c r="K868" s="52" t="str">
        <f t="shared" si="60"/>
        <v>International</v>
      </c>
      <c r="M868" s="55"/>
    </row>
    <row r="869">
      <c r="A869" s="53"/>
      <c r="B869" s="50" t="str">
        <f>IFERROR(__xludf.DUMMYFUNCTION("""COMPUTED_VALUE"""),"Amplicon sequencing assay [OBI:0002767]                    ")</f>
        <v>Amplicon sequencing assay [OBI:0002767]                    </v>
      </c>
      <c r="C869" s="53" t="str">
        <f>IFERROR(__xludf.DUMMYFUNCTION("""COMPUTED_VALUE"""),"OBI:0002767")</f>
        <v>OBI:0002767</v>
      </c>
      <c r="D869" s="29" t="str">
        <f>IFERROR(__xludf.DUMMYFUNCTION("""COMPUTED_VALUE"""),"A sequencing assay in which a DNA or RNA input molecule is amplified by PCR and the product sequenced.")</f>
        <v>A sequencing assay in which a DNA or RNA input molecule is amplified by PCR and the product sequenced.</v>
      </c>
      <c r="H869" s="52" t="s">
        <v>19</v>
      </c>
      <c r="I869" s="52" t="s">
        <v>19</v>
      </c>
      <c r="J869" s="52" t="s">
        <v>19</v>
      </c>
      <c r="K869" s="52" t="str">
        <f t="shared" si="60"/>
        <v>International</v>
      </c>
      <c r="M869" s="55"/>
    </row>
    <row r="870">
      <c r="A870" s="53"/>
      <c r="B870" s="50" t="str">
        <f>IFERROR(__xludf.DUMMYFUNCTION("""COMPUTED_VALUE"""),"     16S ribosomal gene sequencing assay [OBI:0002763]               ")</f>
        <v>     16S ribosomal gene sequencing assay [OBI:0002763]               </v>
      </c>
      <c r="C870" s="53" t="str">
        <f>IFERROR(__xludf.DUMMYFUNCTION("""COMPUTED_VALUE"""),"OBI:0002763")</f>
        <v>OBI:0002763</v>
      </c>
      <c r="D870"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70" s="52" t="s">
        <v>19</v>
      </c>
      <c r="I870" s="52" t="s">
        <v>19</v>
      </c>
      <c r="J870" s="52" t="s">
        <v>19</v>
      </c>
      <c r="K870" s="52" t="str">
        <f t="shared" si="60"/>
        <v>International</v>
      </c>
      <c r="M870" s="55"/>
    </row>
    <row r="871">
      <c r="A871" s="53"/>
      <c r="B871" s="50" t="str">
        <f>IFERROR(__xludf.DUMMYFUNCTION("""COMPUTED_VALUE"""),"Whole genome sequencing assay [OBI:0002117]                    ")</f>
        <v>Whole genome sequencing assay [OBI:0002117]                    </v>
      </c>
      <c r="C871" s="53" t="str">
        <f>IFERROR(__xludf.DUMMYFUNCTION("""COMPUTED_VALUE"""),"OBI:0002117")</f>
        <v>OBI:0002117</v>
      </c>
      <c r="D871"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71" s="52" t="s">
        <v>19</v>
      </c>
      <c r="I871" s="52" t="s">
        <v>19</v>
      </c>
      <c r="J871" s="52" t="s">
        <v>19</v>
      </c>
      <c r="K871" s="52" t="str">
        <f t="shared" si="60"/>
        <v>International</v>
      </c>
      <c r="M871" s="55"/>
    </row>
    <row r="872">
      <c r="A872" s="53"/>
      <c r="B872" s="50" t="str">
        <f>IFERROR(__xludf.DUMMYFUNCTION("""COMPUTED_VALUE"""),"Whole metagenome sequencing assay [OBI:0002623]                    ")</f>
        <v>Whole metagenome sequencing assay [OBI:0002623]                    </v>
      </c>
      <c r="C872" s="53" t="str">
        <f>IFERROR(__xludf.DUMMYFUNCTION("""COMPUTED_VALUE"""),"OBI:0002623")</f>
        <v>OBI:0002623</v>
      </c>
      <c r="D872"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72" s="52" t="s">
        <v>19</v>
      </c>
      <c r="I872" s="52" t="s">
        <v>19</v>
      </c>
      <c r="J872" s="52" t="s">
        <v>19</v>
      </c>
      <c r="K872" s="52" t="str">
        <f t="shared" si="60"/>
        <v>International</v>
      </c>
      <c r="M872" s="55"/>
    </row>
    <row r="873">
      <c r="A873" s="53"/>
      <c r="B873" s="50" t="str">
        <f>IFERROR(__xludf.DUMMYFUNCTION("""COMPUTED_VALUE"""),"     Whole virome sequencing assay [OBI:0002768]               ")</f>
        <v>     Whole virome sequencing assay [OBI:0002768]               </v>
      </c>
      <c r="C873" s="53" t="str">
        <f>IFERROR(__xludf.DUMMYFUNCTION("""COMPUTED_VALUE"""),"OBI:0002768")</f>
        <v>OBI:0002768</v>
      </c>
      <c r="D873"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73" s="52"/>
      <c r="I873" s="52"/>
      <c r="J873" s="52"/>
      <c r="K873" s="53" t="s">
        <v>29</v>
      </c>
      <c r="L873" s="53" t="str">
        <f>LEFT(A873, LEN(A873) - 5)
</f>
        <v>#VALUE!</v>
      </c>
      <c r="M873" s="60" t="s">
        <v>29</v>
      </c>
    </row>
    <row r="874">
      <c r="A874" s="53"/>
      <c r="B874" s="50" t="str">
        <f>IFERROR(__xludf.DUMMYFUNCTION("""COMPUTED_VALUE"""),"                    ")</f>
        <v>                    </v>
      </c>
      <c r="C874" s="53"/>
      <c r="D874" s="29"/>
      <c r="H874" s="52" t="s">
        <v>19</v>
      </c>
      <c r="I874" s="52" t="s">
        <v>19</v>
      </c>
      <c r="J874" s="52" t="s">
        <v>19</v>
      </c>
      <c r="K874" s="52" t="str">
        <f t="shared" ref="K874:K921" si="61">K873</f>
        <v>Mpox</v>
      </c>
      <c r="M874" s="55"/>
    </row>
    <row r="875">
      <c r="A875" s="53" t="str">
        <f>IFERROR(__xludf.DUMMYFUNCTION("""COMPUTED_VALUE"""),"sequencing instrument menu")</f>
        <v>sequencing instrument menu</v>
      </c>
      <c r="B875" s="50" t="str">
        <f>IFERROR(__xludf.DUMMYFUNCTION("""COMPUTED_VALUE"""),"                    ")</f>
        <v>                    </v>
      </c>
      <c r="C875" s="53"/>
      <c r="D875" s="29" t="str">
        <f>IFERROR(__xludf.DUMMYFUNCTION("""COMPUTED_VALUE"""),"")</f>
        <v/>
      </c>
      <c r="E875" s="53"/>
      <c r="F875" s="53"/>
      <c r="G875" s="53"/>
      <c r="H875" s="52" t="s">
        <v>19</v>
      </c>
      <c r="I875" s="52" t="s">
        <v>19</v>
      </c>
      <c r="J875" s="52" t="s">
        <v>19</v>
      </c>
      <c r="K875" s="52" t="str">
        <f t="shared" si="61"/>
        <v>Mpox</v>
      </c>
      <c r="M875" s="55"/>
    </row>
    <row r="876">
      <c r="A876" s="53"/>
      <c r="B876" s="50" t="str">
        <f>IFERROR(__xludf.DUMMYFUNCTION("""COMPUTED_VALUE"""),"Illumina                    ")</f>
        <v>Illumina                    </v>
      </c>
      <c r="C876" s="53" t="str">
        <f>IFERROR(__xludf.DUMMYFUNCTION("""COMPUTED_VALUE"""),"GENEPIO:0100105")</f>
        <v>GENEPIO:0100105</v>
      </c>
      <c r="D876" s="29" t="str">
        <f>IFERROR(__xludf.DUMMYFUNCTION("""COMPUTED_VALUE"""),"A DNA sequencer manufactured by the Illumina corporation.")</f>
        <v>A DNA sequencer manufactured by the Illumina corporation.</v>
      </c>
      <c r="H876" s="52" t="s">
        <v>19</v>
      </c>
      <c r="I876" s="52" t="s">
        <v>19</v>
      </c>
      <c r="J876" s="52" t="s">
        <v>19</v>
      </c>
      <c r="K876" s="52" t="str">
        <f t="shared" si="61"/>
        <v>Mpox</v>
      </c>
      <c r="M876" s="55"/>
    </row>
    <row r="877">
      <c r="A877" s="53"/>
      <c r="B877" s="50" t="str">
        <f>IFERROR(__xludf.DUMMYFUNCTION("""COMPUTED_VALUE"""),"     Illumina Genome Analyzer               ")</f>
        <v>     Illumina Genome Analyzer               </v>
      </c>
      <c r="C877" s="53" t="str">
        <f>IFERROR(__xludf.DUMMYFUNCTION("""COMPUTED_VALUE"""),"OBI:0002128")</f>
        <v>OBI:0002128</v>
      </c>
      <c r="D877"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77" s="52" t="s">
        <v>19</v>
      </c>
      <c r="I877" s="52" t="s">
        <v>19</v>
      </c>
      <c r="J877" s="52" t="s">
        <v>19</v>
      </c>
      <c r="K877" s="52" t="str">
        <f t="shared" si="61"/>
        <v>Mpox</v>
      </c>
      <c r="M877" s="55"/>
    </row>
    <row r="878">
      <c r="A878" s="53"/>
      <c r="B878" s="50" t="str">
        <f>IFERROR(__xludf.DUMMYFUNCTION("""COMPUTED_VALUE"""),"          Illumina Genome Analyzer II          ")</f>
        <v>          Illumina Genome Analyzer II          </v>
      </c>
      <c r="C878" s="53" t="str">
        <f>IFERROR(__xludf.DUMMYFUNCTION("""COMPUTED_VALUE"""),"OBI:0000703")</f>
        <v>OBI:0000703</v>
      </c>
      <c r="D878"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78" s="52" t="s">
        <v>19</v>
      </c>
      <c r="I878" s="52" t="s">
        <v>19</v>
      </c>
      <c r="J878" s="52" t="s">
        <v>19</v>
      </c>
      <c r="K878" s="52" t="str">
        <f t="shared" si="61"/>
        <v>Mpox</v>
      </c>
      <c r="M878" s="55"/>
    </row>
    <row r="879">
      <c r="A879" s="53"/>
      <c r="B879" s="50" t="str">
        <f>IFERROR(__xludf.DUMMYFUNCTION("""COMPUTED_VALUE"""),"          Illumina Genome Analyzer IIx          ")</f>
        <v>          Illumina Genome Analyzer IIx          </v>
      </c>
      <c r="C879" s="53" t="str">
        <f>IFERROR(__xludf.DUMMYFUNCTION("""COMPUTED_VALUE"""),"OBI:0002000")</f>
        <v>OBI:0002000</v>
      </c>
      <c r="D879"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79" s="52" t="s">
        <v>19</v>
      </c>
      <c r="I879" s="52" t="s">
        <v>19</v>
      </c>
      <c r="J879" s="52" t="s">
        <v>19</v>
      </c>
      <c r="K879" s="52" t="str">
        <f t="shared" si="61"/>
        <v>Mpox</v>
      </c>
      <c r="M879" s="55"/>
    </row>
    <row r="880">
      <c r="A880" s="53"/>
      <c r="B880" s="50" t="str">
        <f>IFERROR(__xludf.DUMMYFUNCTION("""COMPUTED_VALUE"""),"     Illumina HiScanSQ               ")</f>
        <v>     Illumina HiScanSQ               </v>
      </c>
      <c r="C880" s="53" t="str">
        <f>IFERROR(__xludf.DUMMYFUNCTION("""COMPUTED_VALUE"""),"GENEPIO:0100109")</f>
        <v>GENEPIO:0100109</v>
      </c>
      <c r="D880"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80" s="52" t="s">
        <v>19</v>
      </c>
      <c r="I880" s="52" t="s">
        <v>19</v>
      </c>
      <c r="J880" s="52" t="s">
        <v>19</v>
      </c>
      <c r="K880" s="52" t="str">
        <f t="shared" si="61"/>
        <v>Mpox</v>
      </c>
      <c r="M880" s="55"/>
    </row>
    <row r="881">
      <c r="A881" s="53"/>
      <c r="B881" s="50" t="str">
        <f>IFERROR(__xludf.DUMMYFUNCTION("""COMPUTED_VALUE"""),"     Illumina HiSeq               ")</f>
        <v>     Illumina HiSeq               </v>
      </c>
      <c r="C881" s="53" t="str">
        <f>IFERROR(__xludf.DUMMYFUNCTION("""COMPUTED_VALUE"""),"GENEPIO:0100110")</f>
        <v>GENEPIO:0100110</v>
      </c>
      <c r="D881"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81" s="52" t="s">
        <v>19</v>
      </c>
      <c r="I881" s="52" t="s">
        <v>19</v>
      </c>
      <c r="J881" s="52" t="s">
        <v>19</v>
      </c>
      <c r="K881" s="52" t="str">
        <f t="shared" si="61"/>
        <v>Mpox</v>
      </c>
      <c r="M881" s="55"/>
    </row>
    <row r="882">
      <c r="A882" s="53"/>
      <c r="B882" s="50" t="str">
        <f>IFERROR(__xludf.DUMMYFUNCTION("""COMPUTED_VALUE"""),"          Illumina HiSeq X          ")</f>
        <v>          Illumina HiSeq X          </v>
      </c>
      <c r="C882" s="53" t="str">
        <f>IFERROR(__xludf.DUMMYFUNCTION("""COMPUTED_VALUE"""),"GENEPIO:0100111")</f>
        <v>GENEPIO:0100111</v>
      </c>
      <c r="D882"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82" s="52" t="s">
        <v>19</v>
      </c>
      <c r="I882" s="52" t="s">
        <v>19</v>
      </c>
      <c r="J882" s="52" t="s">
        <v>19</v>
      </c>
      <c r="K882" s="52" t="str">
        <f t="shared" si="61"/>
        <v>Mpox</v>
      </c>
      <c r="M882" s="55"/>
    </row>
    <row r="883">
      <c r="A883" s="53"/>
      <c r="B883" s="50" t="str">
        <f>IFERROR(__xludf.DUMMYFUNCTION("""COMPUTED_VALUE"""),"               Illumina HiSeq X Five     ")</f>
        <v>               Illumina HiSeq X Five     </v>
      </c>
      <c r="C883" s="53" t="str">
        <f>IFERROR(__xludf.DUMMYFUNCTION("""COMPUTED_VALUE"""),"GENEPIO:0100112")</f>
        <v>GENEPIO:0100112</v>
      </c>
      <c r="D883"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83" s="52" t="s">
        <v>19</v>
      </c>
      <c r="I883" s="52" t="s">
        <v>19</v>
      </c>
      <c r="J883" s="52" t="s">
        <v>19</v>
      </c>
      <c r="K883" s="52" t="str">
        <f t="shared" si="61"/>
        <v>Mpox</v>
      </c>
      <c r="M883" s="55"/>
    </row>
    <row r="884">
      <c r="A884" s="53"/>
      <c r="B884" s="50" t="str">
        <f>IFERROR(__xludf.DUMMYFUNCTION("""COMPUTED_VALUE"""),"               Illumina HiSeq X Ten     ")</f>
        <v>               Illumina HiSeq X Ten     </v>
      </c>
      <c r="C884" s="53" t="str">
        <f>IFERROR(__xludf.DUMMYFUNCTION("""COMPUTED_VALUE"""),"OBI:0002129")</f>
        <v>OBI:0002129</v>
      </c>
      <c r="D884" s="29" t="str">
        <f>IFERROR(__xludf.DUMMYFUNCTION("""COMPUTED_VALUE"""),"A DNA sequencer that consists of a set of 10 HiSeq X Sequencing Systems.")</f>
        <v>A DNA sequencer that consists of a set of 10 HiSeq X Sequencing Systems.</v>
      </c>
      <c r="H884" s="52" t="s">
        <v>19</v>
      </c>
      <c r="I884" s="52" t="s">
        <v>19</v>
      </c>
      <c r="J884" s="52" t="s">
        <v>19</v>
      </c>
      <c r="K884" s="52" t="str">
        <f t="shared" si="61"/>
        <v>Mpox</v>
      </c>
      <c r="M884" s="55"/>
    </row>
    <row r="885">
      <c r="A885" s="53"/>
      <c r="B885" s="50" t="str">
        <f>IFERROR(__xludf.DUMMYFUNCTION("""COMPUTED_VALUE"""),"          Illumina HiSeq 1000          ")</f>
        <v>          Illumina HiSeq 1000          </v>
      </c>
      <c r="C885" s="53" t="str">
        <f>IFERROR(__xludf.DUMMYFUNCTION("""COMPUTED_VALUE"""),"OBI:0002022")</f>
        <v>OBI:0002022</v>
      </c>
      <c r="D885"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85" s="52" t="s">
        <v>19</v>
      </c>
      <c r="I885" s="52" t="s">
        <v>19</v>
      </c>
      <c r="J885" s="52" t="s">
        <v>19</v>
      </c>
      <c r="K885" s="52" t="str">
        <f t="shared" si="61"/>
        <v>Mpox</v>
      </c>
      <c r="M885" s="55"/>
    </row>
    <row r="886">
      <c r="A886" s="53"/>
      <c r="B886" s="50" t="str">
        <f>IFERROR(__xludf.DUMMYFUNCTION("""COMPUTED_VALUE"""),"          Illumina HiSeq 1500          ")</f>
        <v>          Illumina HiSeq 1500          </v>
      </c>
      <c r="C886" s="53" t="str">
        <f>IFERROR(__xludf.DUMMYFUNCTION("""COMPUTED_VALUE"""),"OBI:0003386")</f>
        <v>OBI:0003386</v>
      </c>
      <c r="D886"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86" s="52" t="s">
        <v>19</v>
      </c>
      <c r="I886" s="52" t="s">
        <v>19</v>
      </c>
      <c r="J886" s="52" t="s">
        <v>19</v>
      </c>
      <c r="K886" s="52" t="str">
        <f t="shared" si="61"/>
        <v>Mpox</v>
      </c>
      <c r="M886" s="55"/>
    </row>
    <row r="887">
      <c r="A887" s="53"/>
      <c r="B887" s="50" t="str">
        <f>IFERROR(__xludf.DUMMYFUNCTION("""COMPUTED_VALUE"""),"          Illumina HiSeq 2000          ")</f>
        <v>          Illumina HiSeq 2000          </v>
      </c>
      <c r="C887" s="53" t="str">
        <f>IFERROR(__xludf.DUMMYFUNCTION("""COMPUTED_VALUE"""),"OBI:0002001")</f>
        <v>OBI:0002001</v>
      </c>
      <c r="D887"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87" s="52" t="s">
        <v>19</v>
      </c>
      <c r="I887" s="52" t="s">
        <v>19</v>
      </c>
      <c r="J887" s="52" t="s">
        <v>19</v>
      </c>
      <c r="K887" s="52" t="str">
        <f t="shared" si="61"/>
        <v>Mpox</v>
      </c>
      <c r="M887" s="55"/>
    </row>
    <row r="888">
      <c r="A888" s="53"/>
      <c r="B888" s="50" t="str">
        <f>IFERROR(__xludf.DUMMYFUNCTION("""COMPUTED_VALUE"""),"          Illumina HiSeq 2500          ")</f>
        <v>          Illumina HiSeq 2500          </v>
      </c>
      <c r="C888" s="53" t="str">
        <f>IFERROR(__xludf.DUMMYFUNCTION("""COMPUTED_VALUE"""),"OBI:0002002")</f>
        <v>OBI:0002002</v>
      </c>
      <c r="D888"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88" s="52" t="s">
        <v>19</v>
      </c>
      <c r="I888" s="52" t="s">
        <v>19</v>
      </c>
      <c r="J888" s="52" t="s">
        <v>19</v>
      </c>
      <c r="K888" s="52" t="str">
        <f t="shared" si="61"/>
        <v>Mpox</v>
      </c>
      <c r="M888" s="55"/>
    </row>
    <row r="889">
      <c r="A889" s="53"/>
      <c r="B889" s="50" t="str">
        <f>IFERROR(__xludf.DUMMYFUNCTION("""COMPUTED_VALUE"""),"          Illumina HiSeq 3000          ")</f>
        <v>          Illumina HiSeq 3000          </v>
      </c>
      <c r="C889" s="53" t="str">
        <f>IFERROR(__xludf.DUMMYFUNCTION("""COMPUTED_VALUE"""),"OBI:0002048")</f>
        <v>OBI:0002048</v>
      </c>
      <c r="D889"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89" s="52" t="s">
        <v>19</v>
      </c>
      <c r="I889" s="52" t="s">
        <v>19</v>
      </c>
      <c r="J889" s="52" t="s">
        <v>19</v>
      </c>
      <c r="K889" s="52" t="str">
        <f t="shared" si="61"/>
        <v>Mpox</v>
      </c>
      <c r="M889" s="55"/>
    </row>
    <row r="890">
      <c r="A890" s="53"/>
      <c r="B890" s="50" t="str">
        <f>IFERROR(__xludf.DUMMYFUNCTION("""COMPUTED_VALUE"""),"          Illumina HiSeq 4000          ")</f>
        <v>          Illumina HiSeq 4000          </v>
      </c>
      <c r="C890" s="53" t="str">
        <f>IFERROR(__xludf.DUMMYFUNCTION("""COMPUTED_VALUE"""),"OBI:0002049")</f>
        <v>OBI:0002049</v>
      </c>
      <c r="D890"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90" s="52" t="s">
        <v>19</v>
      </c>
      <c r="I890" s="52" t="s">
        <v>19</v>
      </c>
      <c r="J890" s="52" t="s">
        <v>19</v>
      </c>
      <c r="K890" s="52" t="str">
        <f t="shared" si="61"/>
        <v>Mpox</v>
      </c>
      <c r="M890" s="55"/>
    </row>
    <row r="891">
      <c r="A891" s="53"/>
      <c r="B891" s="50" t="str">
        <f>IFERROR(__xludf.DUMMYFUNCTION("""COMPUTED_VALUE"""),"     Illumina iSeq               ")</f>
        <v>     Illumina iSeq               </v>
      </c>
      <c r="C891" s="53" t="str">
        <f>IFERROR(__xludf.DUMMYFUNCTION("""COMPUTED_VALUE"""),"GENEPIO:0100120")</f>
        <v>GENEPIO:0100120</v>
      </c>
      <c r="D891"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91" s="52" t="s">
        <v>19</v>
      </c>
      <c r="I891" s="52" t="s">
        <v>19</v>
      </c>
      <c r="J891" s="52" t="s">
        <v>19</v>
      </c>
      <c r="K891" s="52" t="str">
        <f t="shared" si="61"/>
        <v>Mpox</v>
      </c>
      <c r="M891" s="55"/>
    </row>
    <row r="892">
      <c r="A892" s="29"/>
      <c r="B892" s="50" t="str">
        <f>IFERROR(__xludf.DUMMYFUNCTION("""COMPUTED_VALUE"""),"          Illumina iSeq 100          ")</f>
        <v>          Illumina iSeq 100          </v>
      </c>
      <c r="C892" s="29" t="str">
        <f>IFERROR(__xludf.DUMMYFUNCTION("""COMPUTED_VALUE"""),"GENEPIO:0100121")</f>
        <v>GENEPIO:0100121</v>
      </c>
      <c r="D892"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892" s="29"/>
      <c r="F892" s="29"/>
      <c r="G892" s="29"/>
      <c r="H892" s="54" t="s">
        <v>19</v>
      </c>
      <c r="I892" s="54" t="s">
        <v>19</v>
      </c>
      <c r="J892" s="54" t="s">
        <v>19</v>
      </c>
      <c r="K892" s="52" t="str">
        <f t="shared" si="61"/>
        <v>Mpox</v>
      </c>
      <c r="M892" s="55"/>
    </row>
    <row r="893">
      <c r="A893" s="29"/>
      <c r="B893" s="50" t="str">
        <f>IFERROR(__xludf.DUMMYFUNCTION("""COMPUTED_VALUE"""),"     Illumina NovaSeq               ")</f>
        <v>     Illumina NovaSeq               </v>
      </c>
      <c r="C893" s="29" t="str">
        <f>IFERROR(__xludf.DUMMYFUNCTION("""COMPUTED_VALUE"""),"GENEPIO:0100122")</f>
        <v>GENEPIO:0100122</v>
      </c>
      <c r="D893"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893" s="29"/>
      <c r="F893" s="29"/>
      <c r="G893" s="29"/>
      <c r="H893" s="54" t="s">
        <v>19</v>
      </c>
      <c r="I893" s="54" t="s">
        <v>19</v>
      </c>
      <c r="J893" s="54" t="s">
        <v>19</v>
      </c>
      <c r="K893" s="52" t="str">
        <f t="shared" si="61"/>
        <v>Mpox</v>
      </c>
      <c r="M893" s="55"/>
    </row>
    <row r="894">
      <c r="A894" s="29"/>
      <c r="B894" s="50" t="str">
        <f>IFERROR(__xludf.DUMMYFUNCTION("""COMPUTED_VALUE"""),"          Illumina NovaSeq 6000          ")</f>
        <v>          Illumina NovaSeq 6000          </v>
      </c>
      <c r="C894" s="29" t="str">
        <f>IFERROR(__xludf.DUMMYFUNCTION("""COMPUTED_VALUE"""),"OBI:0002630")</f>
        <v>OBI:0002630</v>
      </c>
      <c r="D894"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894" s="29"/>
      <c r="F894" s="29"/>
      <c r="G894" s="29"/>
      <c r="H894" s="54" t="s">
        <v>19</v>
      </c>
      <c r="I894" s="54" t="s">
        <v>19</v>
      </c>
      <c r="J894" s="54" t="s">
        <v>19</v>
      </c>
      <c r="K894" s="52" t="str">
        <f t="shared" si="61"/>
        <v>Mpox</v>
      </c>
      <c r="M894" s="55"/>
    </row>
    <row r="895">
      <c r="A895" s="29"/>
      <c r="B895" s="50" t="str">
        <f>IFERROR(__xludf.DUMMYFUNCTION("""COMPUTED_VALUE"""),"     Illumina MiniSeq               ")</f>
        <v>     Illumina MiniSeq               </v>
      </c>
      <c r="C895" s="29" t="str">
        <f>IFERROR(__xludf.DUMMYFUNCTION("""COMPUTED_VALUE"""),"OBI:0003114")</f>
        <v>OBI:0003114</v>
      </c>
      <c r="D895"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895" s="29"/>
      <c r="F895" s="29"/>
      <c r="G895" s="29"/>
      <c r="H895" s="54" t="s">
        <v>19</v>
      </c>
      <c r="I895" s="54" t="s">
        <v>19</v>
      </c>
      <c r="J895" s="54" t="s">
        <v>19</v>
      </c>
      <c r="K895" s="52" t="str">
        <f t="shared" si="61"/>
        <v>Mpox</v>
      </c>
      <c r="M895" s="55"/>
    </row>
    <row r="896">
      <c r="A896" s="29"/>
      <c r="B896" s="50" t="str">
        <f>IFERROR(__xludf.DUMMYFUNCTION("""COMPUTED_VALUE"""),"     Illumina MiSeq               ")</f>
        <v>     Illumina MiSeq               </v>
      </c>
      <c r="C896" s="29" t="str">
        <f>IFERROR(__xludf.DUMMYFUNCTION("""COMPUTED_VALUE"""),"OBI:0002003")</f>
        <v>OBI:0002003</v>
      </c>
      <c r="D896"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896" s="29"/>
      <c r="F896" s="29"/>
      <c r="G896" s="29"/>
      <c r="H896" s="54" t="s">
        <v>19</v>
      </c>
      <c r="I896" s="54" t="s">
        <v>19</v>
      </c>
      <c r="J896" s="54" t="s">
        <v>19</v>
      </c>
      <c r="K896" s="52" t="str">
        <f t="shared" si="61"/>
        <v>Mpox</v>
      </c>
      <c r="M896" s="55"/>
    </row>
    <row r="897">
      <c r="A897" s="29"/>
      <c r="B897" s="50" t="str">
        <f>IFERROR(__xludf.DUMMYFUNCTION("""COMPUTED_VALUE"""),"     Illumina NextSeq               ")</f>
        <v>     Illumina NextSeq               </v>
      </c>
      <c r="C897" s="29" t="str">
        <f>IFERROR(__xludf.DUMMYFUNCTION("""COMPUTED_VALUE"""),"GENEPIO:0100126")</f>
        <v>GENEPIO:0100126</v>
      </c>
      <c r="D897"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897" s="29"/>
      <c r="F897" s="29"/>
      <c r="G897" s="29"/>
      <c r="H897" s="54" t="s">
        <v>19</v>
      </c>
      <c r="I897" s="54" t="s">
        <v>19</v>
      </c>
      <c r="J897" s="54" t="s">
        <v>19</v>
      </c>
      <c r="K897" s="52" t="str">
        <f t="shared" si="61"/>
        <v>Mpox</v>
      </c>
      <c r="M897" s="55"/>
    </row>
    <row r="898">
      <c r="A898" s="29"/>
      <c r="B898" s="50" t="str">
        <f>IFERROR(__xludf.DUMMYFUNCTION("""COMPUTED_VALUE"""),"          Illumina NextSeq 500          ")</f>
        <v>          Illumina NextSeq 500          </v>
      </c>
      <c r="C898" s="29" t="str">
        <f>IFERROR(__xludf.DUMMYFUNCTION("""COMPUTED_VALUE"""),"OBI:0002021")</f>
        <v>OBI:0002021</v>
      </c>
      <c r="D89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898" s="29"/>
      <c r="F898" s="29"/>
      <c r="G898" s="29"/>
      <c r="H898" s="54" t="s">
        <v>19</v>
      </c>
      <c r="I898" s="54" t="s">
        <v>19</v>
      </c>
      <c r="J898" s="54" t="s">
        <v>19</v>
      </c>
      <c r="K898" s="52" t="str">
        <f t="shared" si="61"/>
        <v>Mpox</v>
      </c>
      <c r="M898" s="55"/>
    </row>
    <row r="899">
      <c r="A899" s="29"/>
      <c r="B899" s="50" t="str">
        <f>IFERROR(__xludf.DUMMYFUNCTION("""COMPUTED_VALUE"""),"          Illumina NextSeq 550          ")</f>
        <v>          Illumina NextSeq 550          </v>
      </c>
      <c r="C899" s="29" t="str">
        <f>IFERROR(__xludf.DUMMYFUNCTION("""COMPUTED_VALUE"""),"GENEPIO:0100128")</f>
        <v>GENEPIO:0100128</v>
      </c>
      <c r="D89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899" s="29"/>
      <c r="F899" s="29"/>
      <c r="G899" s="29"/>
      <c r="H899" s="54" t="s">
        <v>19</v>
      </c>
      <c r="I899" s="54" t="s">
        <v>19</v>
      </c>
      <c r="J899" s="54" t="s">
        <v>19</v>
      </c>
      <c r="K899" s="52" t="str">
        <f t="shared" si="61"/>
        <v>Mpox</v>
      </c>
      <c r="M899" s="55"/>
    </row>
    <row r="900">
      <c r="A900" s="29"/>
      <c r="B900" s="50" t="str">
        <f>IFERROR(__xludf.DUMMYFUNCTION("""COMPUTED_VALUE"""),"          Illumina NextSeq 1000          ")</f>
        <v>          Illumina NextSeq 1000          </v>
      </c>
      <c r="C900" s="29" t="str">
        <f>IFERROR(__xludf.DUMMYFUNCTION("""COMPUTED_VALUE"""),"OBI:0003606")</f>
        <v>OBI:0003606</v>
      </c>
      <c r="D900"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00" s="29"/>
      <c r="F900" s="29"/>
      <c r="G900" s="29"/>
      <c r="H900" s="54" t="s">
        <v>19</v>
      </c>
      <c r="I900" s="54" t="s">
        <v>19</v>
      </c>
      <c r="J900" s="54" t="s">
        <v>19</v>
      </c>
      <c r="K900" s="52" t="str">
        <f t="shared" si="61"/>
        <v>Mpox</v>
      </c>
      <c r="M900" s="55"/>
    </row>
    <row r="901">
      <c r="A901" s="29"/>
      <c r="B901" s="50" t="str">
        <f>IFERROR(__xludf.DUMMYFUNCTION("""COMPUTED_VALUE"""),"          Illumina NextSeq 2000          ")</f>
        <v>          Illumina NextSeq 2000          </v>
      </c>
      <c r="C901" s="29" t="str">
        <f>IFERROR(__xludf.DUMMYFUNCTION("""COMPUTED_VALUE"""),"GENEPIO:0100129")</f>
        <v>GENEPIO:0100129</v>
      </c>
      <c r="D901"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01" s="29"/>
      <c r="F901" s="29"/>
      <c r="G901" s="29"/>
      <c r="H901" s="54" t="s">
        <v>19</v>
      </c>
      <c r="I901" s="54" t="s">
        <v>19</v>
      </c>
      <c r="J901" s="54" t="s">
        <v>19</v>
      </c>
      <c r="K901" s="52" t="str">
        <f t="shared" si="61"/>
        <v>Mpox</v>
      </c>
      <c r="M901" s="55"/>
    </row>
    <row r="902">
      <c r="A902" s="29"/>
      <c r="B902" s="50" t="str">
        <f>IFERROR(__xludf.DUMMYFUNCTION("""COMPUTED_VALUE"""),"Pacific Biosciences                    ")</f>
        <v>Pacific Biosciences                    </v>
      </c>
      <c r="C902" s="29" t="str">
        <f>IFERROR(__xludf.DUMMYFUNCTION("""COMPUTED_VALUE"""),"GENEPIO:0100130")</f>
        <v>GENEPIO:0100130</v>
      </c>
      <c r="D902" s="29" t="str">
        <f>IFERROR(__xludf.DUMMYFUNCTION("""COMPUTED_VALUE"""),"A DNA sequencer manufactured by the Pacific Biosciences corporation.")</f>
        <v>A DNA sequencer manufactured by the Pacific Biosciences corporation.</v>
      </c>
      <c r="E902" s="29"/>
      <c r="F902" s="29"/>
      <c r="G902" s="29"/>
      <c r="H902" s="54" t="s">
        <v>19</v>
      </c>
      <c r="I902" s="54" t="s">
        <v>19</v>
      </c>
      <c r="J902" s="54" t="s">
        <v>19</v>
      </c>
      <c r="K902" s="52" t="str">
        <f t="shared" si="61"/>
        <v>Mpox</v>
      </c>
      <c r="M902" s="55"/>
    </row>
    <row r="903">
      <c r="A903" s="29"/>
      <c r="B903" s="50" t="str">
        <f>IFERROR(__xludf.DUMMYFUNCTION("""COMPUTED_VALUE"""),"     PacBio RS               ")</f>
        <v>     PacBio RS               </v>
      </c>
      <c r="C903" s="29" t="str">
        <f>IFERROR(__xludf.DUMMYFUNCTION("""COMPUTED_VALUE"""),"GENEPIO:0100131")</f>
        <v>GENEPIO:0100131</v>
      </c>
      <c r="D903"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903" s="29"/>
      <c r="F903" s="29"/>
      <c r="G903" s="29"/>
      <c r="H903" s="54" t="s">
        <v>19</v>
      </c>
      <c r="I903" s="54" t="s">
        <v>19</v>
      </c>
      <c r="J903" s="54" t="s">
        <v>19</v>
      </c>
      <c r="K903" s="52" t="str">
        <f t="shared" si="61"/>
        <v>Mpox</v>
      </c>
      <c r="M903" s="55"/>
    </row>
    <row r="904">
      <c r="A904" s="29"/>
      <c r="B904" s="50" t="str">
        <f>IFERROR(__xludf.DUMMYFUNCTION("""COMPUTED_VALUE"""),"     PacBio RS II               ")</f>
        <v>     PacBio RS II               </v>
      </c>
      <c r="C904" s="29" t="str">
        <f>IFERROR(__xludf.DUMMYFUNCTION("""COMPUTED_VALUE"""),"OBI:0002012")</f>
        <v>OBI:0002012</v>
      </c>
      <c r="D904"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904" s="29"/>
      <c r="F904" s="29"/>
      <c r="G904" s="29"/>
      <c r="H904" s="54" t="s">
        <v>19</v>
      </c>
      <c r="I904" s="54" t="s">
        <v>19</v>
      </c>
      <c r="J904" s="54" t="s">
        <v>19</v>
      </c>
      <c r="K904" s="52" t="str">
        <f t="shared" si="61"/>
        <v>Mpox</v>
      </c>
      <c r="M904" s="55"/>
    </row>
    <row r="905">
      <c r="A905" s="29"/>
      <c r="B905" s="50" t="str">
        <f>IFERROR(__xludf.DUMMYFUNCTION("""COMPUTED_VALUE"""),"     PacBio Sequel               ")</f>
        <v>     PacBio Sequel               </v>
      </c>
      <c r="C905" s="29" t="str">
        <f>IFERROR(__xludf.DUMMYFUNCTION("""COMPUTED_VALUE"""),"OBI:0002632")</f>
        <v>OBI:0002632</v>
      </c>
      <c r="D905"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905" s="29"/>
      <c r="F905" s="29"/>
      <c r="G905" s="29"/>
      <c r="H905" s="54" t="s">
        <v>19</v>
      </c>
      <c r="I905" s="54" t="s">
        <v>19</v>
      </c>
      <c r="J905" s="54" t="s">
        <v>19</v>
      </c>
      <c r="K905" s="52" t="str">
        <f t="shared" si="61"/>
        <v>Mpox</v>
      </c>
      <c r="M905" s="55"/>
    </row>
    <row r="906">
      <c r="A906" s="29"/>
      <c r="B906" s="50" t="str">
        <f>IFERROR(__xludf.DUMMYFUNCTION("""COMPUTED_VALUE"""),"     PacBio Sequel II               ")</f>
        <v>     PacBio Sequel II               </v>
      </c>
      <c r="C906" s="29" t="str">
        <f>IFERROR(__xludf.DUMMYFUNCTION("""COMPUTED_VALUE"""),"OBI:0002633")</f>
        <v>OBI:0002633</v>
      </c>
      <c r="D906"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906" s="29"/>
      <c r="F906" s="29"/>
      <c r="G906" s="29"/>
      <c r="H906" s="54" t="s">
        <v>19</v>
      </c>
      <c r="I906" s="54" t="s">
        <v>19</v>
      </c>
      <c r="J906" s="54" t="s">
        <v>19</v>
      </c>
      <c r="K906" s="52" t="str">
        <f t="shared" si="61"/>
        <v>Mpox</v>
      </c>
      <c r="M906" s="55"/>
    </row>
    <row r="907">
      <c r="A907" s="29"/>
      <c r="B907" s="50" t="str">
        <f>IFERROR(__xludf.DUMMYFUNCTION("""COMPUTED_VALUE"""),"Ion Torrent                    ")</f>
        <v>Ion Torrent                    </v>
      </c>
      <c r="C907" s="29" t="str">
        <f>IFERROR(__xludf.DUMMYFUNCTION("""COMPUTED_VALUE"""),"GENEPIO:0100135")</f>
        <v>GENEPIO:0100135</v>
      </c>
      <c r="D907" s="29" t="str">
        <f>IFERROR(__xludf.DUMMYFUNCTION("""COMPUTED_VALUE"""),"A DNA sequencer manufactured by the Ion Torrent corporation.")</f>
        <v>A DNA sequencer manufactured by the Ion Torrent corporation.</v>
      </c>
      <c r="E907" s="29"/>
      <c r="F907" s="29"/>
      <c r="G907" s="29"/>
      <c r="H907" s="54" t="s">
        <v>19</v>
      </c>
      <c r="I907" s="54" t="s">
        <v>19</v>
      </c>
      <c r="J907" s="54" t="s">
        <v>19</v>
      </c>
      <c r="K907" s="52" t="str">
        <f t="shared" si="61"/>
        <v>Mpox</v>
      </c>
      <c r="M907" s="55"/>
    </row>
    <row r="908">
      <c r="A908" s="29"/>
      <c r="B908" s="50" t="str">
        <f>IFERROR(__xludf.DUMMYFUNCTION("""COMPUTED_VALUE"""),"     Ion Torrent PGM               ")</f>
        <v>     Ion Torrent PGM               </v>
      </c>
      <c r="C908" s="29" t="str">
        <f>IFERROR(__xludf.DUMMYFUNCTION("""COMPUTED_VALUE"""),"GENEPIO:0100136")</f>
        <v>GENEPIO:0100136</v>
      </c>
      <c r="D908"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908" s="29"/>
      <c r="F908" s="29"/>
      <c r="G908" s="29"/>
      <c r="H908" s="54" t="s">
        <v>19</v>
      </c>
      <c r="I908" s="54" t="s">
        <v>19</v>
      </c>
      <c r="J908" s="54" t="s">
        <v>19</v>
      </c>
      <c r="K908" s="52" t="str">
        <f t="shared" si="61"/>
        <v>Mpox</v>
      </c>
      <c r="M908" s="55"/>
    </row>
    <row r="909">
      <c r="A909" s="29"/>
      <c r="B909" s="50" t="str">
        <f>IFERROR(__xludf.DUMMYFUNCTION("""COMPUTED_VALUE"""),"     Ion Torrent Proton               ")</f>
        <v>     Ion Torrent Proton               </v>
      </c>
      <c r="C909" s="29" t="str">
        <f>IFERROR(__xludf.DUMMYFUNCTION("""COMPUTED_VALUE"""),"GENEPIO:0100137")</f>
        <v>GENEPIO:0100137</v>
      </c>
      <c r="D909"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09" s="29"/>
      <c r="F909" s="29"/>
      <c r="G909" s="29"/>
      <c r="H909" s="54" t="s">
        <v>19</v>
      </c>
      <c r="I909" s="54" t="s">
        <v>19</v>
      </c>
      <c r="J909" s="54" t="s">
        <v>19</v>
      </c>
      <c r="K909" s="52" t="str">
        <f t="shared" si="61"/>
        <v>Mpox</v>
      </c>
      <c r="M909" s="55"/>
    </row>
    <row r="910">
      <c r="A910" s="29"/>
      <c r="B910" s="50" t="str">
        <f>IFERROR(__xludf.DUMMYFUNCTION("""COMPUTED_VALUE"""),"     Ion Torrent S5 XL               ")</f>
        <v>     Ion Torrent S5 XL               </v>
      </c>
      <c r="C910" s="29" t="str">
        <f>IFERROR(__xludf.DUMMYFUNCTION("""COMPUTED_VALUE"""),"GENEPIO:0100138")</f>
        <v>GENEPIO:0100138</v>
      </c>
      <c r="D910"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10" s="29"/>
      <c r="F910" s="29"/>
      <c r="G910" s="29"/>
      <c r="H910" s="54" t="s">
        <v>19</v>
      </c>
      <c r="I910" s="54" t="s">
        <v>19</v>
      </c>
      <c r="J910" s="54" t="s">
        <v>19</v>
      </c>
      <c r="K910" s="52" t="str">
        <f t="shared" si="61"/>
        <v>Mpox</v>
      </c>
      <c r="M910" s="55"/>
    </row>
    <row r="911">
      <c r="A911" s="29"/>
      <c r="B911" s="50" t="str">
        <f>IFERROR(__xludf.DUMMYFUNCTION("""COMPUTED_VALUE"""),"     Ion Torrent S5               ")</f>
        <v>     Ion Torrent S5               </v>
      </c>
      <c r="C911" s="29" t="str">
        <f>IFERROR(__xludf.DUMMYFUNCTION("""COMPUTED_VALUE"""),"GENEPIO:0100139")</f>
        <v>GENEPIO:0100139</v>
      </c>
      <c r="D911"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11" s="29"/>
      <c r="F911" s="29"/>
      <c r="G911" s="29"/>
      <c r="H911" s="54" t="s">
        <v>19</v>
      </c>
      <c r="I911" s="54" t="s">
        <v>19</v>
      </c>
      <c r="J911" s="54" t="s">
        <v>19</v>
      </c>
      <c r="K911" s="52" t="str">
        <f t="shared" si="61"/>
        <v>Mpox</v>
      </c>
      <c r="M911" s="55"/>
    </row>
    <row r="912">
      <c r="A912" s="29"/>
      <c r="B912" s="50" t="str">
        <f>IFERROR(__xludf.DUMMYFUNCTION("""COMPUTED_VALUE"""),"Oxford Nanopore                    ")</f>
        <v>Oxford Nanopore                    </v>
      </c>
      <c r="C912" s="29" t="str">
        <f>IFERROR(__xludf.DUMMYFUNCTION("""COMPUTED_VALUE"""),"GENEPIO:0100140")</f>
        <v>GENEPIO:0100140</v>
      </c>
      <c r="D912" s="29" t="str">
        <f>IFERROR(__xludf.DUMMYFUNCTION("""COMPUTED_VALUE"""),"A DNA sequencer manufactured by the Oxford Nanopore corporation.")</f>
        <v>A DNA sequencer manufactured by the Oxford Nanopore corporation.</v>
      </c>
      <c r="E912" s="29"/>
      <c r="F912" s="29"/>
      <c r="G912" s="29"/>
      <c r="H912" s="54" t="s">
        <v>19</v>
      </c>
      <c r="I912" s="54" t="s">
        <v>19</v>
      </c>
      <c r="J912" s="54" t="s">
        <v>19</v>
      </c>
      <c r="K912" s="52" t="str">
        <f t="shared" si="61"/>
        <v>Mpox</v>
      </c>
      <c r="M912" s="55"/>
    </row>
    <row r="913">
      <c r="A913" s="29"/>
      <c r="B913" s="50" t="str">
        <f>IFERROR(__xludf.DUMMYFUNCTION("""COMPUTED_VALUE"""),"     Oxford Nanopore Flongle               ")</f>
        <v>     Oxford Nanopore Flongle               </v>
      </c>
      <c r="C913" s="29" t="str">
        <f>IFERROR(__xludf.DUMMYFUNCTION("""COMPUTED_VALUE"""),"GENEPIO:0004433")</f>
        <v>GENEPIO:0004433</v>
      </c>
      <c r="D913"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913" s="29"/>
      <c r="F913" s="29"/>
      <c r="G913" s="29"/>
      <c r="H913" s="54" t="s">
        <v>19</v>
      </c>
      <c r="I913" s="54" t="s">
        <v>19</v>
      </c>
      <c r="J913" s="54" t="s">
        <v>19</v>
      </c>
      <c r="K913" s="52" t="str">
        <f t="shared" si="61"/>
        <v>Mpox</v>
      </c>
      <c r="M913" s="55"/>
    </row>
    <row r="914">
      <c r="A914" s="29"/>
      <c r="B914" s="50" t="str">
        <f>IFERROR(__xludf.DUMMYFUNCTION("""COMPUTED_VALUE"""),"     Oxford Nanopore GridION               ")</f>
        <v>     Oxford Nanopore GridION               </v>
      </c>
      <c r="C914" s="29" t="str">
        <f>IFERROR(__xludf.DUMMYFUNCTION("""COMPUTED_VALUE"""),"GENEPIO:0100141")</f>
        <v>GENEPIO:0100141</v>
      </c>
      <c r="D914"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914" s="29"/>
      <c r="F914" s="29"/>
      <c r="G914" s="29"/>
      <c r="H914" s="54" t="s">
        <v>19</v>
      </c>
      <c r="I914" s="54" t="s">
        <v>19</v>
      </c>
      <c r="J914" s="54" t="s">
        <v>19</v>
      </c>
      <c r="K914" s="52" t="str">
        <f t="shared" si="61"/>
        <v>Mpox</v>
      </c>
      <c r="M914" s="55"/>
    </row>
    <row r="915">
      <c r="A915" s="29"/>
      <c r="B915" s="50" t="str">
        <f>IFERROR(__xludf.DUMMYFUNCTION("""COMPUTED_VALUE"""),"     Oxford Nanopore MinION               ")</f>
        <v>     Oxford Nanopore MinION               </v>
      </c>
      <c r="C915" s="29" t="str">
        <f>IFERROR(__xludf.DUMMYFUNCTION("""COMPUTED_VALUE"""),"OBI:0002750")</f>
        <v>OBI:0002750</v>
      </c>
      <c r="D915"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915" s="29"/>
      <c r="F915" s="29"/>
      <c r="G915" s="29"/>
      <c r="H915" s="54" t="s">
        <v>19</v>
      </c>
      <c r="I915" s="54" t="s">
        <v>19</v>
      </c>
      <c r="J915" s="54" t="s">
        <v>19</v>
      </c>
      <c r="K915" s="52" t="str">
        <f t="shared" si="61"/>
        <v>Mpox</v>
      </c>
    </row>
    <row r="916">
      <c r="A916" s="29"/>
      <c r="B916" s="50" t="str">
        <f>IFERROR(__xludf.DUMMYFUNCTION("""COMPUTED_VALUE"""),"     Oxford Nanopore PromethION               ")</f>
        <v>     Oxford Nanopore PromethION               </v>
      </c>
      <c r="C916" s="29" t="str">
        <f>IFERROR(__xludf.DUMMYFUNCTION("""COMPUTED_VALUE"""),"OBI:0002752")</f>
        <v>OBI:0002752</v>
      </c>
      <c r="D916"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916" s="29"/>
      <c r="F916" s="29"/>
      <c r="G916" s="29"/>
      <c r="H916" s="54" t="s">
        <v>19</v>
      </c>
      <c r="I916" s="54" t="s">
        <v>19</v>
      </c>
      <c r="J916" s="54" t="s">
        <v>19</v>
      </c>
      <c r="K916" s="52" t="str">
        <f t="shared" si="61"/>
        <v>Mpox</v>
      </c>
      <c r="M916" s="56"/>
    </row>
    <row r="917">
      <c r="A917" s="29"/>
      <c r="B917" s="50" t="str">
        <f>IFERROR(__xludf.DUMMYFUNCTION("""COMPUTED_VALUE"""),"BGI Genomics                    ")</f>
        <v>BGI Genomics                    </v>
      </c>
      <c r="C917" s="29" t="str">
        <f>IFERROR(__xludf.DUMMYFUNCTION("""COMPUTED_VALUE"""),"GENEPIO:0100144")</f>
        <v>GENEPIO:0100144</v>
      </c>
      <c r="D917" s="29" t="str">
        <f>IFERROR(__xludf.DUMMYFUNCTION("""COMPUTED_VALUE"""),"A DNA sequencer manufactured by the BGI Genomics corporation.")</f>
        <v>A DNA sequencer manufactured by the BGI Genomics corporation.</v>
      </c>
      <c r="E917" s="29"/>
      <c r="F917" s="29"/>
      <c r="G917" s="29"/>
      <c r="H917" s="54" t="s">
        <v>19</v>
      </c>
      <c r="I917" s="54" t="s">
        <v>19</v>
      </c>
      <c r="J917" s="54" t="s">
        <v>19</v>
      </c>
      <c r="K917" s="52" t="str">
        <f t="shared" si="61"/>
        <v>Mpox</v>
      </c>
      <c r="M917" s="55"/>
    </row>
    <row r="918">
      <c r="A918" s="29"/>
      <c r="B918" s="50" t="str">
        <f>IFERROR(__xludf.DUMMYFUNCTION("""COMPUTED_VALUE"""),"     BGI Genomics BGISEQ-500               ")</f>
        <v>     BGI Genomics BGISEQ-500               </v>
      </c>
      <c r="C918" s="29" t="str">
        <f>IFERROR(__xludf.DUMMYFUNCTION("""COMPUTED_VALUE"""),"GENEPIO:0100145")</f>
        <v>GENEPIO:0100145</v>
      </c>
      <c r="D918"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918" s="29"/>
      <c r="F918" s="29"/>
      <c r="G918" s="29"/>
      <c r="H918" s="54" t="s">
        <v>19</v>
      </c>
      <c r="I918" s="54" t="s">
        <v>19</v>
      </c>
      <c r="J918" s="54" t="s">
        <v>19</v>
      </c>
      <c r="K918" s="52" t="str">
        <f t="shared" si="61"/>
        <v>Mpox</v>
      </c>
      <c r="M918" s="55"/>
    </row>
    <row r="919">
      <c r="A919" s="29"/>
      <c r="B919" s="50" t="str">
        <f>IFERROR(__xludf.DUMMYFUNCTION("""COMPUTED_VALUE"""),"MGI                    ")</f>
        <v>MGI                    </v>
      </c>
      <c r="C919" s="29" t="str">
        <f>IFERROR(__xludf.DUMMYFUNCTION("""COMPUTED_VALUE"""),"GENEPIO:0100146")</f>
        <v>GENEPIO:0100146</v>
      </c>
      <c r="D919" s="29" t="str">
        <f>IFERROR(__xludf.DUMMYFUNCTION("""COMPUTED_VALUE"""),"A DNA sequencer manufactured by the MGI corporation.")</f>
        <v>A DNA sequencer manufactured by the MGI corporation.</v>
      </c>
      <c r="E919" s="29"/>
      <c r="F919" s="29"/>
      <c r="G919" s="29"/>
      <c r="H919" s="54" t="s">
        <v>19</v>
      </c>
      <c r="I919" s="54" t="s">
        <v>19</v>
      </c>
      <c r="J919" s="54" t="s">
        <v>19</v>
      </c>
      <c r="K919" s="52" t="str">
        <f t="shared" si="61"/>
        <v>Mpox</v>
      </c>
      <c r="M919" s="55"/>
    </row>
    <row r="920">
      <c r="A920" s="29"/>
      <c r="B920" s="50" t="str">
        <f>IFERROR(__xludf.DUMMYFUNCTION("""COMPUTED_VALUE"""),"     MGI DNBSEQ-T7               ")</f>
        <v>     MGI DNBSEQ-T7               </v>
      </c>
      <c r="C920" s="29" t="str">
        <f>IFERROR(__xludf.DUMMYFUNCTION("""COMPUTED_VALUE"""),"GENEPIO:0100147")</f>
        <v>GENEPIO:0100147</v>
      </c>
      <c r="D920"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20" s="29"/>
      <c r="F920" s="29"/>
      <c r="G920" s="29"/>
      <c r="H920" s="54" t="s">
        <v>19</v>
      </c>
      <c r="I920" s="54" t="s">
        <v>19</v>
      </c>
      <c r="J920" s="54" t="s">
        <v>19</v>
      </c>
      <c r="K920" s="52" t="str">
        <f t="shared" si="61"/>
        <v>Mpox</v>
      </c>
      <c r="M920" s="55"/>
    </row>
    <row r="921">
      <c r="A921" s="29"/>
      <c r="B921" s="50" t="str">
        <f>IFERROR(__xludf.DUMMYFUNCTION("""COMPUTED_VALUE"""),"     MGI DNBSEQ-G400               ")</f>
        <v>     MGI DNBSEQ-G400               </v>
      </c>
      <c r="C921" s="29" t="str">
        <f>IFERROR(__xludf.DUMMYFUNCTION("""COMPUTED_VALUE"""),"GENEPIO:0100148")</f>
        <v>GENEPIO:0100148</v>
      </c>
      <c r="D921" s="29" t="str">
        <f>IFERROR(__xludf.DUMMYFUNCTION("""COMPUTED_VALUE"""),"A DNA sequencer manufactured by the MGI corporation with an output capacity of 55GB~1440GB per run.")</f>
        <v>A DNA sequencer manufactured by the MGI corporation with an output capacity of 55GB~1440GB per run.</v>
      </c>
      <c r="E921" s="29"/>
      <c r="F921" s="29"/>
      <c r="G921" s="29"/>
      <c r="H921" s="54" t="s">
        <v>19</v>
      </c>
      <c r="I921" s="54" t="s">
        <v>19</v>
      </c>
      <c r="J921" s="54" t="s">
        <v>19</v>
      </c>
      <c r="K921" s="52" t="str">
        <f t="shared" si="61"/>
        <v>Mpox</v>
      </c>
      <c r="M921" s="55"/>
    </row>
    <row r="922">
      <c r="A922" s="29"/>
      <c r="B922" s="50" t="str">
        <f>IFERROR(__xludf.DUMMYFUNCTION("""COMPUTED_VALUE"""),"     MGI DNBSEQ-G400 FAST               ")</f>
        <v>     MGI DNBSEQ-G400 FAST               </v>
      </c>
      <c r="C922" s="29" t="str">
        <f>IFERROR(__xludf.DUMMYFUNCTION("""COMPUTED_VALUE"""),"GENEPIO:0100149")</f>
        <v>GENEPIO:0100149</v>
      </c>
      <c r="D922"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22" s="29"/>
      <c r="F922" s="29"/>
      <c r="G922" s="29"/>
      <c r="H922" s="54"/>
      <c r="I922" s="54"/>
      <c r="J922" s="54"/>
      <c r="K922" s="53" t="s">
        <v>31</v>
      </c>
      <c r="L922" s="29" t="str">
        <f>LEFT(A922, LEN(A922) - 5)
</f>
        <v>#VALUE!</v>
      </c>
      <c r="M922" s="58" t="s">
        <v>32</v>
      </c>
    </row>
    <row r="923">
      <c r="A923" s="29"/>
      <c r="B923" s="50" t="str">
        <f>IFERROR(__xludf.DUMMYFUNCTION("""COMPUTED_VALUE"""),"     MGI DNBSEQ-G50               ")</f>
        <v>     MGI DNBSEQ-G50               </v>
      </c>
      <c r="C923" s="29" t="str">
        <f>IFERROR(__xludf.DUMMYFUNCTION("""COMPUTED_VALUE"""),"GENEPIO:0100150")</f>
        <v>GENEPIO:0100150</v>
      </c>
      <c r="D923"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23" s="29"/>
      <c r="F923" s="29"/>
      <c r="G923" s="29"/>
      <c r="H923" s="54" t="s">
        <v>19</v>
      </c>
      <c r="I923" s="54" t="s">
        <v>19</v>
      </c>
      <c r="J923" s="54" t="s">
        <v>19</v>
      </c>
      <c r="K923" s="52" t="str">
        <f t="shared" ref="K923:K970" si="62">K922</f>
        <v>International</v>
      </c>
      <c r="M923" s="55"/>
    </row>
    <row r="924">
      <c r="A924" s="29" t="str">
        <f>IFERROR(__xludf.DUMMYFUNCTION("""COMPUTED_VALUE"""),"sequencing instrument international menu")</f>
        <v>sequencing instrument international menu</v>
      </c>
      <c r="B924" s="50" t="str">
        <f>IFERROR(__xludf.DUMMYFUNCTION("""COMPUTED_VALUE"""),"                    ")</f>
        <v>                    </v>
      </c>
      <c r="C924" s="29"/>
      <c r="D924" s="29" t="str">
        <f>IFERROR(__xludf.DUMMYFUNCTION("""COMPUTED_VALUE"""),"")</f>
        <v/>
      </c>
      <c r="E924" s="29"/>
      <c r="F924" s="29"/>
      <c r="G924" s="29"/>
      <c r="H924" s="54" t="s">
        <v>19</v>
      </c>
      <c r="I924" s="54" t="s">
        <v>19</v>
      </c>
      <c r="J924" s="54" t="s">
        <v>19</v>
      </c>
      <c r="K924" s="52" t="str">
        <f t="shared" si="62"/>
        <v>International</v>
      </c>
      <c r="M924" s="55"/>
    </row>
    <row r="925">
      <c r="A925" s="29"/>
      <c r="B925" s="50" t="str">
        <f>IFERROR(__xludf.DUMMYFUNCTION("""COMPUTED_VALUE"""),"Illumina [GENEPIO:0100105]                    ")</f>
        <v>Illumina [GENEPIO:0100105]                    </v>
      </c>
      <c r="C925" s="29" t="str">
        <f>IFERROR(__xludf.DUMMYFUNCTION("""COMPUTED_VALUE"""),"GENEPIO:0100105")</f>
        <v>GENEPIO:0100105</v>
      </c>
      <c r="D925" s="29" t="str">
        <f>IFERROR(__xludf.DUMMYFUNCTION("""COMPUTED_VALUE"""),"A DNA sequencer manufactured by the Illumina corporation.")</f>
        <v>A DNA sequencer manufactured by the Illumina corporation.</v>
      </c>
      <c r="E925" s="29"/>
      <c r="F925" s="29"/>
      <c r="G925" s="29"/>
      <c r="H925" s="54" t="s">
        <v>19</v>
      </c>
      <c r="I925" s="54" t="s">
        <v>19</v>
      </c>
      <c r="J925" s="54" t="s">
        <v>19</v>
      </c>
      <c r="K925" s="52" t="str">
        <f t="shared" si="62"/>
        <v>International</v>
      </c>
      <c r="M925" s="55"/>
    </row>
    <row r="926">
      <c r="A926" s="29"/>
      <c r="B926" s="50" t="str">
        <f>IFERROR(__xludf.DUMMYFUNCTION("""COMPUTED_VALUE"""),"     Illumina Genome Analyzer [OBI:0002128]               ")</f>
        <v>     Illumina Genome Analyzer [OBI:0002128]               </v>
      </c>
      <c r="C926" s="29" t="str">
        <f>IFERROR(__xludf.DUMMYFUNCTION("""COMPUTED_VALUE"""),"OBI:0002128")</f>
        <v>OBI:0002128</v>
      </c>
      <c r="D926"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26" s="29"/>
      <c r="F926" s="29"/>
      <c r="G926" s="29"/>
      <c r="H926" s="54" t="s">
        <v>19</v>
      </c>
      <c r="I926" s="54" t="s">
        <v>19</v>
      </c>
      <c r="J926" s="54" t="s">
        <v>19</v>
      </c>
      <c r="K926" s="52" t="str">
        <f t="shared" si="62"/>
        <v>International</v>
      </c>
      <c r="M926" s="55"/>
    </row>
    <row r="927">
      <c r="A927" s="29"/>
      <c r="B927" s="50" t="str">
        <f>IFERROR(__xludf.DUMMYFUNCTION("""COMPUTED_VALUE"""),"          Illumina Genome Analyzer II [OBI:0000703]          ")</f>
        <v>          Illumina Genome Analyzer II [OBI:0000703]          </v>
      </c>
      <c r="C927" s="29" t="str">
        <f>IFERROR(__xludf.DUMMYFUNCTION("""COMPUTED_VALUE"""),"OBI:0000703")</f>
        <v>OBI:0000703</v>
      </c>
      <c r="D927"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27" s="29"/>
      <c r="F927" s="29"/>
      <c r="G927" s="29"/>
      <c r="H927" s="54" t="s">
        <v>19</v>
      </c>
      <c r="I927" s="54" t="s">
        <v>19</v>
      </c>
      <c r="J927" s="54" t="s">
        <v>19</v>
      </c>
      <c r="K927" s="52" t="str">
        <f t="shared" si="62"/>
        <v>International</v>
      </c>
      <c r="M927" s="55"/>
    </row>
    <row r="928">
      <c r="A928" s="29"/>
      <c r="B928" s="50" t="str">
        <f>IFERROR(__xludf.DUMMYFUNCTION("""COMPUTED_VALUE"""),"          Illumina Genome Analyzer IIx [OBI:0002000]          ")</f>
        <v>          Illumina Genome Analyzer IIx [OBI:0002000]          </v>
      </c>
      <c r="C928" s="29" t="str">
        <f>IFERROR(__xludf.DUMMYFUNCTION("""COMPUTED_VALUE"""),"OBI:0002000")</f>
        <v>OBI:0002000</v>
      </c>
      <c r="D928"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28" s="29"/>
      <c r="F928" s="29"/>
      <c r="G928" s="29"/>
      <c r="H928" s="54" t="s">
        <v>19</v>
      </c>
      <c r="I928" s="54" t="s">
        <v>19</v>
      </c>
      <c r="J928" s="54" t="s">
        <v>19</v>
      </c>
      <c r="K928" s="52" t="str">
        <f t="shared" si="62"/>
        <v>International</v>
      </c>
      <c r="M928" s="55"/>
    </row>
    <row r="929">
      <c r="A929" s="29"/>
      <c r="B929" s="50" t="str">
        <f>IFERROR(__xludf.DUMMYFUNCTION("""COMPUTED_VALUE"""),"     Illumina HiScanSQ [GENEPIO:0100109]               ")</f>
        <v>     Illumina HiScanSQ [GENEPIO:0100109]               </v>
      </c>
      <c r="C929" s="29" t="str">
        <f>IFERROR(__xludf.DUMMYFUNCTION("""COMPUTED_VALUE"""),"GENEPIO:0100109")</f>
        <v>GENEPIO:0100109</v>
      </c>
      <c r="D929"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29" s="29"/>
      <c r="F929" s="29"/>
      <c r="G929" s="29"/>
      <c r="H929" s="54" t="s">
        <v>19</v>
      </c>
      <c r="I929" s="54" t="s">
        <v>19</v>
      </c>
      <c r="J929" s="54" t="s">
        <v>19</v>
      </c>
      <c r="K929" s="52" t="str">
        <f t="shared" si="62"/>
        <v>International</v>
      </c>
      <c r="M929" s="55"/>
    </row>
    <row r="930">
      <c r="A930" s="29"/>
      <c r="B930" s="50" t="str">
        <f>IFERROR(__xludf.DUMMYFUNCTION("""COMPUTED_VALUE"""),"     Illumina HiSeq [GENEPIO:0100110]               ")</f>
        <v>     Illumina HiSeq [GENEPIO:0100110]               </v>
      </c>
      <c r="C930" s="29" t="str">
        <f>IFERROR(__xludf.DUMMYFUNCTION("""COMPUTED_VALUE"""),"GENEPIO:0100110")</f>
        <v>GENEPIO:0100110</v>
      </c>
      <c r="D930"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30" s="29"/>
      <c r="F930" s="29"/>
      <c r="G930" s="29"/>
      <c r="H930" s="54" t="s">
        <v>19</v>
      </c>
      <c r="I930" s="54" t="s">
        <v>19</v>
      </c>
      <c r="J930" s="54" t="s">
        <v>19</v>
      </c>
      <c r="K930" s="52" t="str">
        <f t="shared" si="62"/>
        <v>International</v>
      </c>
      <c r="M930" s="55"/>
    </row>
    <row r="931">
      <c r="A931" s="29"/>
      <c r="B931" s="50" t="str">
        <f>IFERROR(__xludf.DUMMYFUNCTION("""COMPUTED_VALUE"""),"          Illumina HiSeq X [GENEPIO:0100111]          ")</f>
        <v>          Illumina HiSeq X [GENEPIO:0100111]          </v>
      </c>
      <c r="C931" s="29" t="str">
        <f>IFERROR(__xludf.DUMMYFUNCTION("""COMPUTED_VALUE"""),"GENEPIO:0100111")</f>
        <v>GENEPIO:0100111</v>
      </c>
      <c r="D931"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31" s="29"/>
      <c r="F931" s="29"/>
      <c r="G931" s="29"/>
      <c r="H931" s="54" t="s">
        <v>19</v>
      </c>
      <c r="I931" s="54" t="s">
        <v>19</v>
      </c>
      <c r="J931" s="54" t="s">
        <v>19</v>
      </c>
      <c r="K931" s="52" t="str">
        <f t="shared" si="62"/>
        <v>International</v>
      </c>
      <c r="M931" s="55"/>
    </row>
    <row r="932">
      <c r="A932" s="29"/>
      <c r="B932" s="50" t="str">
        <f>IFERROR(__xludf.DUMMYFUNCTION("""COMPUTED_VALUE"""),"               Illumina HiSeq X Five [GENEPIO:0100112]     ")</f>
        <v>               Illumina HiSeq X Five [GENEPIO:0100112]     </v>
      </c>
      <c r="C932" s="29" t="str">
        <f>IFERROR(__xludf.DUMMYFUNCTION("""COMPUTED_VALUE"""),"GENEPIO:0100112")</f>
        <v>GENEPIO:0100112</v>
      </c>
      <c r="D932"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32" s="29"/>
      <c r="F932" s="29"/>
      <c r="G932" s="29"/>
      <c r="H932" s="54" t="s">
        <v>19</v>
      </c>
      <c r="I932" s="54" t="s">
        <v>19</v>
      </c>
      <c r="J932" s="54" t="s">
        <v>19</v>
      </c>
      <c r="K932" s="52" t="str">
        <f t="shared" si="62"/>
        <v>International</v>
      </c>
      <c r="M932" s="55"/>
    </row>
    <row r="933">
      <c r="A933" s="29"/>
      <c r="B933" s="50" t="str">
        <f>IFERROR(__xludf.DUMMYFUNCTION("""COMPUTED_VALUE"""),"               Illumina HiSeq X Ten [OBI:0002129]     ")</f>
        <v>               Illumina HiSeq X Ten [OBI:0002129]     </v>
      </c>
      <c r="C933" s="29" t="str">
        <f>IFERROR(__xludf.DUMMYFUNCTION("""COMPUTED_VALUE"""),"OBI:0002129")</f>
        <v>OBI:0002129</v>
      </c>
      <c r="D933" s="29" t="str">
        <f>IFERROR(__xludf.DUMMYFUNCTION("""COMPUTED_VALUE"""),"A DNA sequencer that consists of a set of 10 HiSeq X Sequencing Systems.")</f>
        <v>A DNA sequencer that consists of a set of 10 HiSeq X Sequencing Systems.</v>
      </c>
      <c r="E933" s="29"/>
      <c r="F933" s="29"/>
      <c r="G933" s="29"/>
      <c r="H933" s="54" t="s">
        <v>19</v>
      </c>
      <c r="I933" s="54" t="s">
        <v>19</v>
      </c>
      <c r="J933" s="54" t="s">
        <v>19</v>
      </c>
      <c r="K933" s="52" t="str">
        <f t="shared" si="62"/>
        <v>International</v>
      </c>
      <c r="M933" s="55"/>
    </row>
    <row r="934">
      <c r="A934" s="29"/>
      <c r="B934" s="50" t="str">
        <f>IFERROR(__xludf.DUMMYFUNCTION("""COMPUTED_VALUE"""),"          Illumina HiSeq 1000 [OBI:0002022]          ")</f>
        <v>          Illumina HiSeq 1000 [OBI:0002022]          </v>
      </c>
      <c r="C934" s="29" t="str">
        <f>IFERROR(__xludf.DUMMYFUNCTION("""COMPUTED_VALUE"""),"OBI:0002022")</f>
        <v>OBI:0002022</v>
      </c>
      <c r="D934"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34" s="29"/>
      <c r="F934" s="29"/>
      <c r="G934" s="29"/>
      <c r="H934" s="54" t="s">
        <v>19</v>
      </c>
      <c r="I934" s="54" t="s">
        <v>19</v>
      </c>
      <c r="J934" s="54" t="s">
        <v>19</v>
      </c>
      <c r="K934" s="52" t="str">
        <f t="shared" si="62"/>
        <v>International</v>
      </c>
      <c r="M934" s="55"/>
    </row>
    <row r="935">
      <c r="A935" s="29"/>
      <c r="B935" s="50" t="str">
        <f>IFERROR(__xludf.DUMMYFUNCTION("""COMPUTED_VALUE"""),"          Illumina HiSeq 1500 [OBI:0003386]          ")</f>
        <v>          Illumina HiSeq 1500 [OBI:0003386]          </v>
      </c>
      <c r="C935" s="29" t="str">
        <f>IFERROR(__xludf.DUMMYFUNCTION("""COMPUTED_VALUE"""),"OBI:0003386")</f>
        <v>OBI:0003386</v>
      </c>
      <c r="D935"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35" s="29"/>
      <c r="F935" s="29"/>
      <c r="G935" s="29"/>
      <c r="H935" s="54" t="s">
        <v>19</v>
      </c>
      <c r="I935" s="54" t="s">
        <v>19</v>
      </c>
      <c r="J935" s="54" t="s">
        <v>19</v>
      </c>
      <c r="K935" s="52" t="str">
        <f t="shared" si="62"/>
        <v>International</v>
      </c>
      <c r="M935" s="55"/>
    </row>
    <row r="936">
      <c r="A936" s="29"/>
      <c r="B936" s="50" t="str">
        <f>IFERROR(__xludf.DUMMYFUNCTION("""COMPUTED_VALUE"""),"          Illumina HiSeq 2000 [OBI:0002001]          ")</f>
        <v>          Illumina HiSeq 2000 [OBI:0002001]          </v>
      </c>
      <c r="C936" s="29" t="str">
        <f>IFERROR(__xludf.DUMMYFUNCTION("""COMPUTED_VALUE"""),"OBI:0002001")</f>
        <v>OBI:0002001</v>
      </c>
      <c r="D936"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36" s="29"/>
      <c r="F936" s="29"/>
      <c r="G936" s="29"/>
      <c r="H936" s="54" t="s">
        <v>19</v>
      </c>
      <c r="I936" s="54" t="s">
        <v>19</v>
      </c>
      <c r="J936" s="54" t="s">
        <v>19</v>
      </c>
      <c r="K936" s="52" t="str">
        <f t="shared" si="62"/>
        <v>International</v>
      </c>
      <c r="M936" s="55"/>
    </row>
    <row r="937">
      <c r="A937" s="29"/>
      <c r="B937" s="50" t="str">
        <f>IFERROR(__xludf.DUMMYFUNCTION("""COMPUTED_VALUE"""),"          Illumina HiSeq 2500 [OBI:0002002]          ")</f>
        <v>          Illumina HiSeq 2500 [OBI:0002002]          </v>
      </c>
      <c r="C937" s="29" t="str">
        <f>IFERROR(__xludf.DUMMYFUNCTION("""COMPUTED_VALUE"""),"OBI:0002002")</f>
        <v>OBI:0002002</v>
      </c>
      <c r="D937"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37" s="29"/>
      <c r="F937" s="29"/>
      <c r="G937" s="29"/>
      <c r="H937" s="54" t="s">
        <v>19</v>
      </c>
      <c r="I937" s="54" t="s">
        <v>19</v>
      </c>
      <c r="J937" s="54" t="s">
        <v>19</v>
      </c>
      <c r="K937" s="52" t="str">
        <f t="shared" si="62"/>
        <v>International</v>
      </c>
      <c r="M937" s="55"/>
    </row>
    <row r="938">
      <c r="A938" s="29"/>
      <c r="B938" s="50" t="str">
        <f>IFERROR(__xludf.DUMMYFUNCTION("""COMPUTED_VALUE"""),"          Illumina HiSeq 3000 [OBI:0002048]          ")</f>
        <v>          Illumina HiSeq 3000 [OBI:0002048]          </v>
      </c>
      <c r="C938" s="29" t="str">
        <f>IFERROR(__xludf.DUMMYFUNCTION("""COMPUTED_VALUE"""),"OBI:0002048")</f>
        <v>OBI:0002048</v>
      </c>
      <c r="D938"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38" s="29"/>
      <c r="F938" s="29"/>
      <c r="G938" s="29"/>
      <c r="H938" s="54" t="s">
        <v>19</v>
      </c>
      <c r="I938" s="54" t="s">
        <v>19</v>
      </c>
      <c r="J938" s="54" t="s">
        <v>19</v>
      </c>
      <c r="K938" s="52" t="str">
        <f t="shared" si="62"/>
        <v>International</v>
      </c>
      <c r="M938" s="55"/>
    </row>
    <row r="939">
      <c r="A939" s="29"/>
      <c r="B939" s="50" t="str">
        <f>IFERROR(__xludf.DUMMYFUNCTION("""COMPUTED_VALUE"""),"          Illumina HiSeq 4000 [OBI:0002049]          ")</f>
        <v>          Illumina HiSeq 4000 [OBI:0002049]          </v>
      </c>
      <c r="C939" s="29" t="str">
        <f>IFERROR(__xludf.DUMMYFUNCTION("""COMPUTED_VALUE"""),"OBI:0002049")</f>
        <v>OBI:0002049</v>
      </c>
      <c r="D939"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39" s="29"/>
      <c r="F939" s="29"/>
      <c r="G939" s="29"/>
      <c r="H939" s="54" t="s">
        <v>19</v>
      </c>
      <c r="I939" s="54" t="s">
        <v>19</v>
      </c>
      <c r="J939" s="54" t="s">
        <v>19</v>
      </c>
      <c r="K939" s="52" t="str">
        <f t="shared" si="62"/>
        <v>International</v>
      </c>
      <c r="M939" s="55"/>
    </row>
    <row r="940">
      <c r="A940" s="29"/>
      <c r="B940" s="50" t="str">
        <f>IFERROR(__xludf.DUMMYFUNCTION("""COMPUTED_VALUE"""),"     Illumina iSeq [GENEPIO:0100120]               ")</f>
        <v>     Illumina iSeq [GENEPIO:0100120]               </v>
      </c>
      <c r="C940" s="29" t="str">
        <f>IFERROR(__xludf.DUMMYFUNCTION("""COMPUTED_VALUE"""),"GENEPIO:0100120")</f>
        <v>GENEPIO:0100120</v>
      </c>
      <c r="D940"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40" s="29"/>
      <c r="F940" s="29"/>
      <c r="G940" s="29"/>
      <c r="H940" s="54" t="s">
        <v>19</v>
      </c>
      <c r="I940" s="54" t="s">
        <v>19</v>
      </c>
      <c r="J940" s="54" t="s">
        <v>19</v>
      </c>
      <c r="K940" s="52" t="str">
        <f t="shared" si="62"/>
        <v>International</v>
      </c>
      <c r="M940" s="55"/>
    </row>
    <row r="941">
      <c r="A941" s="29"/>
      <c r="B941" s="50" t="str">
        <f>IFERROR(__xludf.DUMMYFUNCTION("""COMPUTED_VALUE"""),"          Illumina iSeq 100 [GENEPIO:0100121]          ")</f>
        <v>          Illumina iSeq 100 [GENEPIO:0100121]          </v>
      </c>
      <c r="C941" s="29" t="str">
        <f>IFERROR(__xludf.DUMMYFUNCTION("""COMPUTED_VALUE"""),"GENEPIO:0100121")</f>
        <v>GENEPIO:0100121</v>
      </c>
      <c r="D941"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41" s="29"/>
      <c r="F941" s="29"/>
      <c r="G941" s="29"/>
      <c r="H941" s="54" t="s">
        <v>19</v>
      </c>
      <c r="I941" s="54" t="s">
        <v>19</v>
      </c>
      <c r="J941" s="54" t="s">
        <v>19</v>
      </c>
      <c r="K941" s="52" t="str">
        <f t="shared" si="62"/>
        <v>International</v>
      </c>
      <c r="M941" s="55"/>
    </row>
    <row r="942">
      <c r="A942" s="53"/>
      <c r="B942" s="50" t="str">
        <f>IFERROR(__xludf.DUMMYFUNCTION("""COMPUTED_VALUE"""),"     Illumina NovaSeq [GENEPIO:0100122]               ")</f>
        <v>     Illumina NovaSeq [GENEPIO:0100122]               </v>
      </c>
      <c r="C942" s="53" t="str">
        <f>IFERROR(__xludf.DUMMYFUNCTION("""COMPUTED_VALUE"""),"GENEPIO:0100122")</f>
        <v>GENEPIO:0100122</v>
      </c>
      <c r="D942"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942" s="54" t="s">
        <v>19</v>
      </c>
      <c r="I942" s="54" t="s">
        <v>19</v>
      </c>
      <c r="J942" s="54" t="s">
        <v>19</v>
      </c>
      <c r="K942" s="52" t="str">
        <f t="shared" si="62"/>
        <v>International</v>
      </c>
      <c r="M942" s="55"/>
    </row>
    <row r="943">
      <c r="A943" s="53"/>
      <c r="B943" s="50" t="str">
        <f>IFERROR(__xludf.DUMMYFUNCTION("""COMPUTED_VALUE"""),"          Illumina NovaSeq 6000 [OBI:0002630]          ")</f>
        <v>          Illumina NovaSeq 6000 [OBI:0002630]          </v>
      </c>
      <c r="C943" s="53" t="str">
        <f>IFERROR(__xludf.DUMMYFUNCTION("""COMPUTED_VALUE"""),"OBI:0002630")</f>
        <v>OBI:0002630</v>
      </c>
      <c r="D943"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943" s="52" t="s">
        <v>19</v>
      </c>
      <c r="I943" s="52" t="s">
        <v>19</v>
      </c>
      <c r="J943" s="52" t="s">
        <v>19</v>
      </c>
      <c r="K943" s="52" t="str">
        <f t="shared" si="62"/>
        <v>International</v>
      </c>
      <c r="M943" s="55"/>
    </row>
    <row r="944">
      <c r="A944" s="53"/>
      <c r="B944" s="50" t="str">
        <f>IFERROR(__xludf.DUMMYFUNCTION("""COMPUTED_VALUE"""),"     Illumina MiniSeq [OBI:0003114]               ")</f>
        <v>     Illumina MiniSeq [OBI:0003114]               </v>
      </c>
      <c r="C944" s="53" t="str">
        <f>IFERROR(__xludf.DUMMYFUNCTION("""COMPUTED_VALUE"""),"OBI:0003114")</f>
        <v>OBI:0003114</v>
      </c>
      <c r="D944"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944" s="52" t="s">
        <v>19</v>
      </c>
      <c r="I944" s="52" t="s">
        <v>19</v>
      </c>
      <c r="J944" s="52" t="s">
        <v>19</v>
      </c>
      <c r="K944" s="52" t="str">
        <f t="shared" si="62"/>
        <v>International</v>
      </c>
      <c r="M944" s="55"/>
    </row>
    <row r="945">
      <c r="A945" s="53"/>
      <c r="B945" s="50" t="str">
        <f>IFERROR(__xludf.DUMMYFUNCTION("""COMPUTED_VALUE"""),"     Illumina MiSeq [OBI:0002003]               ")</f>
        <v>     Illumina MiSeq [OBI:0002003]               </v>
      </c>
      <c r="C945" s="53" t="str">
        <f>IFERROR(__xludf.DUMMYFUNCTION("""COMPUTED_VALUE"""),"OBI:0002003")</f>
        <v>OBI:0002003</v>
      </c>
      <c r="D945"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945" s="52" t="s">
        <v>19</v>
      </c>
      <c r="I945" s="52" t="s">
        <v>19</v>
      </c>
      <c r="J945" s="52" t="s">
        <v>19</v>
      </c>
      <c r="K945" s="52" t="str">
        <f t="shared" si="62"/>
        <v>International</v>
      </c>
      <c r="M945" s="55"/>
    </row>
    <row r="946">
      <c r="A946" s="53"/>
      <c r="B946" s="50" t="str">
        <f>IFERROR(__xludf.DUMMYFUNCTION("""COMPUTED_VALUE"""),"     Illumina NextSeq [GENEPIO:0100126]               ")</f>
        <v>     Illumina NextSeq [GENEPIO:0100126]               </v>
      </c>
      <c r="C946" s="53" t="str">
        <f>IFERROR(__xludf.DUMMYFUNCTION("""COMPUTED_VALUE"""),"GENEPIO:0100126")</f>
        <v>GENEPIO:0100126</v>
      </c>
      <c r="D946"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946" s="52" t="s">
        <v>19</v>
      </c>
      <c r="I946" s="52" t="s">
        <v>19</v>
      </c>
      <c r="J946" s="52" t="s">
        <v>19</v>
      </c>
      <c r="K946" s="52" t="str">
        <f t="shared" si="62"/>
        <v>International</v>
      </c>
      <c r="M946" s="55"/>
    </row>
    <row r="947">
      <c r="A947" s="53"/>
      <c r="B947" s="50" t="str">
        <f>IFERROR(__xludf.DUMMYFUNCTION("""COMPUTED_VALUE"""),"          Illumina NextSeq 500 [OBI:0002021]          ")</f>
        <v>          Illumina NextSeq 500 [OBI:0002021]          </v>
      </c>
      <c r="C947" s="53" t="str">
        <f>IFERROR(__xludf.DUMMYFUNCTION("""COMPUTED_VALUE"""),"OBI:0002021")</f>
        <v>OBI:0002021</v>
      </c>
      <c r="D947"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947" s="52" t="s">
        <v>19</v>
      </c>
      <c r="I947" s="52" t="s">
        <v>19</v>
      </c>
      <c r="J947" s="52" t="s">
        <v>19</v>
      </c>
      <c r="K947" s="52" t="str">
        <f t="shared" si="62"/>
        <v>International</v>
      </c>
      <c r="M947" s="55"/>
    </row>
    <row r="948">
      <c r="A948" s="53"/>
      <c r="B948" s="50" t="str">
        <f>IFERROR(__xludf.DUMMYFUNCTION("""COMPUTED_VALUE"""),"          Illumina NextSeq 550 [GENEPIO:0100128]          ")</f>
        <v>          Illumina NextSeq 550 [GENEPIO:0100128]          </v>
      </c>
      <c r="C948" s="53" t="str">
        <f>IFERROR(__xludf.DUMMYFUNCTION("""COMPUTED_VALUE"""),"GENEPIO:0100128")</f>
        <v>GENEPIO:0100128</v>
      </c>
      <c r="D94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948" s="52" t="s">
        <v>19</v>
      </c>
      <c r="I948" s="52" t="s">
        <v>19</v>
      </c>
      <c r="J948" s="52" t="s">
        <v>19</v>
      </c>
      <c r="K948" s="52" t="str">
        <f t="shared" si="62"/>
        <v>International</v>
      </c>
      <c r="M948" s="55"/>
    </row>
    <row r="949">
      <c r="A949" s="53"/>
      <c r="B949" s="50" t="str">
        <f>IFERROR(__xludf.DUMMYFUNCTION("""COMPUTED_VALUE"""),"          Illumina NextSeq 1000 [OBI:0003606]          ")</f>
        <v>          Illumina NextSeq 1000 [OBI:0003606]          </v>
      </c>
      <c r="C949" s="53" t="str">
        <f>IFERROR(__xludf.DUMMYFUNCTION("""COMPUTED_VALUE"""),"OBI:0003606")</f>
        <v>OBI:0003606</v>
      </c>
      <c r="D949"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949" s="52" t="s">
        <v>19</v>
      </c>
      <c r="I949" s="52" t="s">
        <v>19</v>
      </c>
      <c r="J949" s="52" t="s">
        <v>19</v>
      </c>
      <c r="K949" s="52" t="str">
        <f t="shared" si="62"/>
        <v>International</v>
      </c>
      <c r="M949" s="55"/>
    </row>
    <row r="950">
      <c r="A950" s="53"/>
      <c r="B950" s="50" t="str">
        <f>IFERROR(__xludf.DUMMYFUNCTION("""COMPUTED_VALUE"""),"          Illumina NextSeq 2000 [GENEPIO:0100129]          ")</f>
        <v>          Illumina NextSeq 2000 [GENEPIO:0100129]          </v>
      </c>
      <c r="C950" s="53" t="str">
        <f>IFERROR(__xludf.DUMMYFUNCTION("""COMPUTED_VALUE"""),"GENEPIO:0100129")</f>
        <v>GENEPIO:0100129</v>
      </c>
      <c r="D950"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H950" s="52" t="s">
        <v>19</v>
      </c>
      <c r="I950" s="52" t="s">
        <v>19</v>
      </c>
      <c r="J950" s="52" t="s">
        <v>19</v>
      </c>
      <c r="K950" s="52" t="str">
        <f t="shared" si="62"/>
        <v>International</v>
      </c>
      <c r="M950" s="55"/>
    </row>
    <row r="951">
      <c r="A951" s="53"/>
      <c r="B951" s="50" t="str">
        <f>IFERROR(__xludf.DUMMYFUNCTION("""COMPUTED_VALUE"""),"Pacific Biosciences [GENEPIO:0100130]                    ")</f>
        <v>Pacific Biosciences [GENEPIO:0100130]                    </v>
      </c>
      <c r="C951" s="53" t="str">
        <f>IFERROR(__xludf.DUMMYFUNCTION("""COMPUTED_VALUE"""),"GENEPIO:0100130")</f>
        <v>GENEPIO:0100130</v>
      </c>
      <c r="D951" s="29" t="str">
        <f>IFERROR(__xludf.DUMMYFUNCTION("""COMPUTED_VALUE"""),"A DNA sequencer manufactured by the Pacific Biosciences corporation.")</f>
        <v>A DNA sequencer manufactured by the Pacific Biosciences corporation.</v>
      </c>
      <c r="H951" s="52" t="s">
        <v>19</v>
      </c>
      <c r="I951" s="52" t="s">
        <v>19</v>
      </c>
      <c r="J951" s="52" t="s">
        <v>19</v>
      </c>
      <c r="K951" s="52" t="str">
        <f t="shared" si="62"/>
        <v>International</v>
      </c>
      <c r="M951" s="55"/>
    </row>
    <row r="952">
      <c r="A952" s="53"/>
      <c r="B952" s="50" t="str">
        <f>IFERROR(__xludf.DUMMYFUNCTION("""COMPUTED_VALUE"""),"     PacBio RS [GENEPIO:0100131]               ")</f>
        <v>     PacBio RS [GENEPIO:0100131]               </v>
      </c>
      <c r="C952" s="53" t="str">
        <f>IFERROR(__xludf.DUMMYFUNCTION("""COMPUTED_VALUE"""),"GENEPIO:0100131")</f>
        <v>GENEPIO:0100131</v>
      </c>
      <c r="D952"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952" s="52" t="s">
        <v>19</v>
      </c>
      <c r="I952" s="52" t="s">
        <v>19</v>
      </c>
      <c r="J952" s="52" t="s">
        <v>19</v>
      </c>
      <c r="K952" s="52" t="str">
        <f t="shared" si="62"/>
        <v>International</v>
      </c>
      <c r="M952" s="55"/>
    </row>
    <row r="953">
      <c r="A953" s="53"/>
      <c r="B953" s="50" t="str">
        <f>IFERROR(__xludf.DUMMYFUNCTION("""COMPUTED_VALUE"""),"     PacBio RS II [OBI:0002012]               ")</f>
        <v>     PacBio RS II [OBI:0002012]               </v>
      </c>
      <c r="C953" s="53" t="str">
        <f>IFERROR(__xludf.DUMMYFUNCTION("""COMPUTED_VALUE"""),"OBI:0002012")</f>
        <v>OBI:0002012</v>
      </c>
      <c r="D953"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953" s="52" t="s">
        <v>19</v>
      </c>
      <c r="I953" s="52" t="s">
        <v>19</v>
      </c>
      <c r="J953" s="52" t="s">
        <v>19</v>
      </c>
      <c r="K953" s="52" t="str">
        <f t="shared" si="62"/>
        <v>International</v>
      </c>
      <c r="M953" s="55"/>
    </row>
    <row r="954">
      <c r="A954" s="53"/>
      <c r="B954" s="50" t="str">
        <f>IFERROR(__xludf.DUMMYFUNCTION("""COMPUTED_VALUE"""),"     PacBio Sequel [OBI:0002632]               ")</f>
        <v>     PacBio Sequel [OBI:0002632]               </v>
      </c>
      <c r="C954" s="53" t="str">
        <f>IFERROR(__xludf.DUMMYFUNCTION("""COMPUTED_VALUE"""),"OBI:0002632")</f>
        <v>OBI:0002632</v>
      </c>
      <c r="D954"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954" s="52" t="s">
        <v>19</v>
      </c>
      <c r="I954" s="52" t="s">
        <v>19</v>
      </c>
      <c r="J954" s="52" t="s">
        <v>19</v>
      </c>
      <c r="K954" s="52" t="str">
        <f t="shared" si="62"/>
        <v>International</v>
      </c>
      <c r="M954" s="55"/>
    </row>
    <row r="955">
      <c r="A955" s="53"/>
      <c r="B955" s="50" t="str">
        <f>IFERROR(__xludf.DUMMYFUNCTION("""COMPUTED_VALUE"""),"     PacBio Sequel II [OBI:0002633]               ")</f>
        <v>     PacBio Sequel II [OBI:0002633]               </v>
      </c>
      <c r="C955" s="53" t="str">
        <f>IFERROR(__xludf.DUMMYFUNCTION("""COMPUTED_VALUE"""),"OBI:0002633")</f>
        <v>OBI:0002633</v>
      </c>
      <c r="D955"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955" s="52" t="s">
        <v>19</v>
      </c>
      <c r="I955" s="52" t="s">
        <v>19</v>
      </c>
      <c r="J955" s="52" t="s">
        <v>19</v>
      </c>
      <c r="K955" s="52" t="str">
        <f t="shared" si="62"/>
        <v>International</v>
      </c>
      <c r="M955" s="55"/>
    </row>
    <row r="956">
      <c r="A956" s="53"/>
      <c r="B956" s="50" t="str">
        <f>IFERROR(__xludf.DUMMYFUNCTION("""COMPUTED_VALUE"""),"Ion Torrent [GENEPIO:0100135                    ")</f>
        <v>Ion Torrent [GENEPIO:0100135                    </v>
      </c>
      <c r="C956" s="53" t="str">
        <f>IFERROR(__xludf.DUMMYFUNCTION("""COMPUTED_VALUE"""),"GENEPIO:0100135")</f>
        <v>GENEPIO:0100135</v>
      </c>
      <c r="D956" s="29" t="str">
        <f>IFERROR(__xludf.DUMMYFUNCTION("""COMPUTED_VALUE"""),"A DNA sequencer manufactured by the Ion Torrent corporation.")</f>
        <v>A DNA sequencer manufactured by the Ion Torrent corporation.</v>
      </c>
      <c r="H956" s="52" t="s">
        <v>19</v>
      </c>
      <c r="I956" s="52" t="s">
        <v>19</v>
      </c>
      <c r="J956" s="52" t="s">
        <v>19</v>
      </c>
      <c r="K956" s="52" t="str">
        <f t="shared" si="62"/>
        <v>International</v>
      </c>
      <c r="M956" s="55"/>
    </row>
    <row r="957">
      <c r="A957" s="53"/>
      <c r="B957" s="50" t="str">
        <f>IFERROR(__xludf.DUMMYFUNCTION("""COMPUTED_VALUE"""),"     Ion Torrent PGM [GENEPIO:0100136]               ")</f>
        <v>     Ion Torrent PGM [GENEPIO:0100136]               </v>
      </c>
      <c r="C957" s="53" t="str">
        <f>IFERROR(__xludf.DUMMYFUNCTION("""COMPUTED_VALUE"""),"GENEPIO:0100136")</f>
        <v>GENEPIO:0100136</v>
      </c>
      <c r="D957"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957" s="52" t="s">
        <v>19</v>
      </c>
      <c r="I957" s="52" t="s">
        <v>19</v>
      </c>
      <c r="J957" s="52" t="s">
        <v>19</v>
      </c>
      <c r="K957" s="52" t="str">
        <f t="shared" si="62"/>
        <v>International</v>
      </c>
      <c r="M957" s="55"/>
    </row>
    <row r="958">
      <c r="A958" s="53"/>
      <c r="B958" s="50" t="str">
        <f>IFERROR(__xludf.DUMMYFUNCTION("""COMPUTED_VALUE"""),"     Ion Torrent Proton [GENEPIO:0100137]               ")</f>
        <v>     Ion Torrent Proton [GENEPIO:0100137]               </v>
      </c>
      <c r="C958" s="53" t="str">
        <f>IFERROR(__xludf.DUMMYFUNCTION("""COMPUTED_VALUE"""),"GENEPIO:0100137")</f>
        <v>GENEPIO:0100137</v>
      </c>
      <c r="D958"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958" s="52" t="s">
        <v>19</v>
      </c>
      <c r="I958" s="52" t="s">
        <v>19</v>
      </c>
      <c r="J958" s="52" t="s">
        <v>19</v>
      </c>
      <c r="K958" s="52" t="str">
        <f t="shared" si="62"/>
        <v>International</v>
      </c>
      <c r="M958" s="55"/>
    </row>
    <row r="959">
      <c r="A959" s="53"/>
      <c r="B959" s="50" t="str">
        <f>IFERROR(__xludf.DUMMYFUNCTION("""COMPUTED_VALUE"""),"     Ion Torrent S5 XL [GENEPIO:0100138]               ")</f>
        <v>     Ion Torrent S5 XL [GENEPIO:0100138]               </v>
      </c>
      <c r="C959" s="53" t="str">
        <f>IFERROR(__xludf.DUMMYFUNCTION("""COMPUTED_VALUE"""),"GENEPIO:0100138")</f>
        <v>GENEPIO:0100138</v>
      </c>
      <c r="D959"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959" s="52" t="s">
        <v>19</v>
      </c>
      <c r="I959" s="52" t="s">
        <v>19</v>
      </c>
      <c r="J959" s="52" t="s">
        <v>19</v>
      </c>
      <c r="K959" s="52" t="str">
        <f t="shared" si="62"/>
        <v>International</v>
      </c>
      <c r="M959" s="55"/>
    </row>
    <row r="960">
      <c r="A960" s="53"/>
      <c r="B960" s="50" t="str">
        <f>IFERROR(__xludf.DUMMYFUNCTION("""COMPUTED_VALUE"""),"     Ion Torrent S5 [GENEPIO:0100139]               ")</f>
        <v>     Ion Torrent S5 [GENEPIO:0100139]               </v>
      </c>
      <c r="C960" s="53" t="str">
        <f>IFERROR(__xludf.DUMMYFUNCTION("""COMPUTED_VALUE"""),"GENEPIO:0100139")</f>
        <v>GENEPIO:0100139</v>
      </c>
      <c r="D960"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H960" s="52" t="s">
        <v>19</v>
      </c>
      <c r="I960" s="52" t="s">
        <v>19</v>
      </c>
      <c r="J960" s="52" t="s">
        <v>19</v>
      </c>
      <c r="K960" s="52" t="str">
        <f t="shared" si="62"/>
        <v>International</v>
      </c>
      <c r="M960" s="55"/>
    </row>
    <row r="961">
      <c r="A961" s="53"/>
      <c r="B961" s="50" t="str">
        <f>IFERROR(__xludf.DUMMYFUNCTION("""COMPUTED_VALUE"""),"Oxford Nanopore [GENEPIO:0100140]                    ")</f>
        <v>Oxford Nanopore [GENEPIO:0100140]                    </v>
      </c>
      <c r="C961" s="53" t="str">
        <f>IFERROR(__xludf.DUMMYFUNCTION("""COMPUTED_VALUE"""),"GENEPIO:0100140")</f>
        <v>GENEPIO:0100140</v>
      </c>
      <c r="D961" s="29" t="str">
        <f>IFERROR(__xludf.DUMMYFUNCTION("""COMPUTED_VALUE"""),"A DNA sequencer manufactured by the Oxford Nanopore corporation.")</f>
        <v>A DNA sequencer manufactured by the Oxford Nanopore corporation.</v>
      </c>
      <c r="H961" s="52" t="s">
        <v>19</v>
      </c>
      <c r="I961" s="52" t="s">
        <v>19</v>
      </c>
      <c r="J961" s="52" t="s">
        <v>19</v>
      </c>
      <c r="K961" s="52" t="str">
        <f t="shared" si="62"/>
        <v>International</v>
      </c>
      <c r="M961" s="55"/>
    </row>
    <row r="962">
      <c r="A962" s="53"/>
      <c r="B962" s="50" t="str">
        <f>IFERROR(__xludf.DUMMYFUNCTION("""COMPUTED_VALUE"""),"     Oxford Nanopore Flongle [GENEPIO:0004433]               ")</f>
        <v>     Oxford Nanopore Flongle [GENEPIO:0004433]               </v>
      </c>
      <c r="C962" s="53" t="str">
        <f>IFERROR(__xludf.DUMMYFUNCTION("""COMPUTED_VALUE"""),"GENEPIO:0004433")</f>
        <v>GENEPIO:0004433</v>
      </c>
      <c r="D962"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62" s="52" t="s">
        <v>19</v>
      </c>
      <c r="I962" s="52" t="s">
        <v>19</v>
      </c>
      <c r="J962" s="52" t="s">
        <v>19</v>
      </c>
      <c r="K962" s="52" t="str">
        <f t="shared" si="62"/>
        <v>International</v>
      </c>
      <c r="M962" s="55"/>
    </row>
    <row r="963">
      <c r="A963" s="53"/>
      <c r="B963" s="50" t="str">
        <f>IFERROR(__xludf.DUMMYFUNCTION("""COMPUTED_VALUE"""),"     Oxford Nanopore GridION [GENEPIO:0100141]               ")</f>
        <v>     Oxford Nanopore GridION [GENEPIO:0100141]               </v>
      </c>
      <c r="C963" s="53" t="str">
        <f>IFERROR(__xludf.DUMMYFUNCTION("""COMPUTED_VALUE"""),"GENEPIO:0100141")</f>
        <v>GENEPIO:0100141</v>
      </c>
      <c r="D963"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63" s="52" t="s">
        <v>19</v>
      </c>
      <c r="I963" s="52" t="s">
        <v>19</v>
      </c>
      <c r="J963" s="52" t="s">
        <v>19</v>
      </c>
      <c r="K963" s="52" t="str">
        <f t="shared" si="62"/>
        <v>International</v>
      </c>
      <c r="M963" s="55"/>
    </row>
    <row r="964">
      <c r="A964" s="53"/>
      <c r="B964" s="50" t="str">
        <f>IFERROR(__xludf.DUMMYFUNCTION("""COMPUTED_VALUE"""),"     Oxford Nanopore MinION [OBI:0002750]               ")</f>
        <v>     Oxford Nanopore MinION [OBI:0002750]               </v>
      </c>
      <c r="C964" s="53" t="str">
        <f>IFERROR(__xludf.DUMMYFUNCTION("""COMPUTED_VALUE"""),"OBI:0002750")</f>
        <v>OBI:0002750</v>
      </c>
      <c r="D964"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64" s="54" t="s">
        <v>19</v>
      </c>
      <c r="I964" s="54" t="s">
        <v>19</v>
      </c>
      <c r="J964" s="54" t="s">
        <v>19</v>
      </c>
      <c r="K964" s="52" t="str">
        <f t="shared" si="62"/>
        <v>International</v>
      </c>
    </row>
    <row r="965">
      <c r="A965" s="53"/>
      <c r="B965" s="50" t="str">
        <f>IFERROR(__xludf.DUMMYFUNCTION("""COMPUTED_VALUE"""),"     Oxford Nanopore PromethION [OBI:0002752]               ")</f>
        <v>     Oxford Nanopore PromethION [OBI:0002752]               </v>
      </c>
      <c r="C965" s="53" t="str">
        <f>IFERROR(__xludf.DUMMYFUNCTION("""COMPUTED_VALUE"""),"OBI:0002752")</f>
        <v>OBI:0002752</v>
      </c>
      <c r="D965"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65" s="52" t="s">
        <v>19</v>
      </c>
      <c r="I965" s="52" t="s">
        <v>19</v>
      </c>
      <c r="J965" s="52" t="s">
        <v>19</v>
      </c>
      <c r="K965" s="52" t="str">
        <f t="shared" si="62"/>
        <v>International</v>
      </c>
      <c r="M965" s="56"/>
    </row>
    <row r="966">
      <c r="A966" s="53"/>
      <c r="B966" s="50" t="str">
        <f>IFERROR(__xludf.DUMMYFUNCTION("""COMPUTED_VALUE"""),"BGI Genomics [GENEPIO:0100144]                    ")</f>
        <v>BGI Genomics [GENEPIO:0100144]                    </v>
      </c>
      <c r="C966" s="53" t="str">
        <f>IFERROR(__xludf.DUMMYFUNCTION("""COMPUTED_VALUE"""),"GENEPIO:0100144")</f>
        <v>GENEPIO:0100144</v>
      </c>
      <c r="D966" s="29" t="str">
        <f>IFERROR(__xludf.DUMMYFUNCTION("""COMPUTED_VALUE"""),"A DNA sequencer manufactured by the BGI Genomics corporation.")</f>
        <v>A DNA sequencer manufactured by the BGI Genomics corporation.</v>
      </c>
      <c r="H966" s="52" t="s">
        <v>19</v>
      </c>
      <c r="I966" s="52" t="s">
        <v>19</v>
      </c>
      <c r="J966" s="52" t="s">
        <v>19</v>
      </c>
      <c r="K966" s="52" t="str">
        <f t="shared" si="62"/>
        <v>International</v>
      </c>
      <c r="M966" s="55"/>
    </row>
    <row r="967">
      <c r="A967" s="53"/>
      <c r="B967" s="50" t="str">
        <f>IFERROR(__xludf.DUMMYFUNCTION("""COMPUTED_VALUE"""),"     BGI Genomics BGISEQ-500 [GENEPIO:0100145]               ")</f>
        <v>     BGI Genomics BGISEQ-500 [GENEPIO:0100145]               </v>
      </c>
      <c r="C967" s="53" t="str">
        <f>IFERROR(__xludf.DUMMYFUNCTION("""COMPUTED_VALUE"""),"GENEPIO:0100145")</f>
        <v>GENEPIO:0100145</v>
      </c>
      <c r="D967"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67" s="54" t="s">
        <v>19</v>
      </c>
      <c r="I967" s="54" t="s">
        <v>19</v>
      </c>
      <c r="J967" s="54" t="s">
        <v>19</v>
      </c>
      <c r="K967" s="52" t="str">
        <f t="shared" si="62"/>
        <v>International</v>
      </c>
    </row>
    <row r="968">
      <c r="A968" s="53"/>
      <c r="B968" s="50" t="str">
        <f>IFERROR(__xludf.DUMMYFUNCTION("""COMPUTED_VALUE"""),"MGI [GENEPIO:0100146]                    ")</f>
        <v>MGI [GENEPIO:0100146]                    </v>
      </c>
      <c r="C968" s="53" t="str">
        <f>IFERROR(__xludf.DUMMYFUNCTION("""COMPUTED_VALUE"""),"GENEPIO:0100146")</f>
        <v>GENEPIO:0100146</v>
      </c>
      <c r="D968" s="29" t="str">
        <f>IFERROR(__xludf.DUMMYFUNCTION("""COMPUTED_VALUE"""),"A DNA sequencer manufactured by the MGI corporation.")</f>
        <v>A DNA sequencer manufactured by the MGI corporation.</v>
      </c>
      <c r="H968" s="54" t="s">
        <v>19</v>
      </c>
      <c r="I968" s="54" t="s">
        <v>19</v>
      </c>
      <c r="J968" s="54" t="s">
        <v>19</v>
      </c>
      <c r="K968" s="52" t="str">
        <f t="shared" si="62"/>
        <v>International</v>
      </c>
      <c r="M968" s="56"/>
    </row>
    <row r="969">
      <c r="A969" s="53"/>
      <c r="B969" s="50" t="str">
        <f>IFERROR(__xludf.DUMMYFUNCTION("""COMPUTED_VALUE"""),"     MGI DNBSEQ-T7 [GENEPIO:0100147]               ")</f>
        <v>     MGI DNBSEQ-T7 [GENEPIO:0100147]               </v>
      </c>
      <c r="C969" s="53" t="str">
        <f>IFERROR(__xludf.DUMMYFUNCTION("""COMPUTED_VALUE"""),"GENEPIO:0100147")</f>
        <v>GENEPIO:0100147</v>
      </c>
      <c r="D969"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69" s="52" t="s">
        <v>19</v>
      </c>
      <c r="I969" s="52" t="s">
        <v>19</v>
      </c>
      <c r="J969" s="52" t="s">
        <v>19</v>
      </c>
      <c r="K969" s="52" t="str">
        <f t="shared" si="62"/>
        <v>International</v>
      </c>
      <c r="M969" s="55"/>
    </row>
    <row r="970">
      <c r="A970" s="53"/>
      <c r="B970" s="50" t="str">
        <f>IFERROR(__xludf.DUMMYFUNCTION("""COMPUTED_VALUE"""),"     MGI DNBSEQ-G400 [GENEPIO:0100148]               ")</f>
        <v>     MGI DNBSEQ-G400 [GENEPIO:0100148]               </v>
      </c>
      <c r="C970" s="53" t="str">
        <f>IFERROR(__xludf.DUMMYFUNCTION("""COMPUTED_VALUE"""),"GENEPIO:0100148")</f>
        <v>GENEPIO:0100148</v>
      </c>
      <c r="D970" s="29" t="str">
        <f>IFERROR(__xludf.DUMMYFUNCTION("""COMPUTED_VALUE"""),"A DNA sequencer manufactured by the MGI corporation with an output capacity of 55GB~1440GB per run.")</f>
        <v>A DNA sequencer manufactured by the MGI corporation with an output capacity of 55GB~1440GB per run.</v>
      </c>
      <c r="H970" s="54" t="s">
        <v>19</v>
      </c>
      <c r="I970" s="54" t="s">
        <v>19</v>
      </c>
      <c r="J970" s="54" t="s">
        <v>19</v>
      </c>
      <c r="K970" s="52" t="str">
        <f t="shared" si="62"/>
        <v>International</v>
      </c>
    </row>
    <row r="971">
      <c r="A971" s="53"/>
      <c r="B971" s="50" t="str">
        <f>IFERROR(__xludf.DUMMYFUNCTION("""COMPUTED_VALUE"""),"     MGI DNBSEQ-G400 FAST [GENEPIO:0100149]               ")</f>
        <v>     MGI DNBSEQ-G400 FAST [GENEPIO:0100149]               </v>
      </c>
      <c r="C971" s="53" t="str">
        <f>IFERROR(__xludf.DUMMYFUNCTION("""COMPUTED_VALUE"""),"GENEPIO:0100149")</f>
        <v>GENEPIO:0100149</v>
      </c>
      <c r="D971"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71" s="52"/>
      <c r="I971" s="52"/>
      <c r="J971" s="52"/>
      <c r="K971" s="53" t="s">
        <v>29</v>
      </c>
      <c r="L971" s="53" t="str">
        <f>LEFT(A971, LEN(A971) - 5)
</f>
        <v>#VALUE!</v>
      </c>
      <c r="M971" s="56" t="s">
        <v>29</v>
      </c>
    </row>
    <row r="972">
      <c r="A972" s="53"/>
      <c r="B972" s="50" t="str">
        <f>IFERROR(__xludf.DUMMYFUNCTION("""COMPUTED_VALUE"""),"     MGI DNBSEQ-G50 [GENEPIO:0100150]               ")</f>
        <v>     MGI DNBSEQ-G50 [GENEPIO:0100150]               </v>
      </c>
      <c r="C972" s="53" t="str">
        <f>IFERROR(__xludf.DUMMYFUNCTION("""COMPUTED_VALUE"""),"GENEPIO:0100150")</f>
        <v>GENEPIO:0100150</v>
      </c>
      <c r="D972"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72" s="52" t="s">
        <v>19</v>
      </c>
      <c r="I972" s="52" t="s">
        <v>19</v>
      </c>
      <c r="J972" s="52" t="s">
        <v>19</v>
      </c>
      <c r="K972" s="52" t="str">
        <f t="shared" ref="K972:K973" si="63">K971</f>
        <v>Mpox</v>
      </c>
      <c r="M972" s="55"/>
    </row>
    <row r="973">
      <c r="A973" s="53" t="str">
        <f>IFERROR(__xludf.DUMMYFUNCTION("""COMPUTED_VALUE"""),"genomic target enrichment method menu")</f>
        <v>genomic target enrichment method menu</v>
      </c>
      <c r="B973" s="50" t="str">
        <f>IFERROR(__xludf.DUMMYFUNCTION("""COMPUTED_VALUE"""),"                    ")</f>
        <v>                    </v>
      </c>
      <c r="C973" s="53"/>
      <c r="D973" s="29"/>
      <c r="E973" s="53"/>
      <c r="F973" s="53"/>
      <c r="G973" s="53"/>
      <c r="H973" s="52" t="s">
        <v>19</v>
      </c>
      <c r="I973" s="52" t="s">
        <v>19</v>
      </c>
      <c r="J973" s="52" t="s">
        <v>19</v>
      </c>
      <c r="K973" s="52" t="str">
        <f t="shared" si="63"/>
        <v>Mpox</v>
      </c>
      <c r="M973" s="55"/>
    </row>
    <row r="974">
      <c r="A974" s="53"/>
      <c r="B974" s="50" t="str">
        <f>IFERROR(__xludf.DUMMYFUNCTION("""COMPUTED_VALUE"""),"Hybridization capture                    ")</f>
        <v>Hybridization capture                    </v>
      </c>
      <c r="C974" s="53" t="str">
        <f>IFERROR(__xludf.DUMMYFUNCTION("""COMPUTED_VALUE"""),"GENEPIO:0001950")</f>
        <v>GENEPIO:0001950</v>
      </c>
      <c r="D974" s="29" t="str">
        <f>IFERROR(__xludf.DUMMYFUNCTION("""COMPUTED_VALUE"""),"Selection by hybridization in array or solution.")</f>
        <v>Selection by hybridization in array or solution.</v>
      </c>
      <c r="H974" s="52"/>
      <c r="I974" s="52"/>
      <c r="J974" s="52"/>
      <c r="K974" s="53" t="s">
        <v>31</v>
      </c>
      <c r="L974" s="29" t="str">
        <f>LEFT(A974, LEN(A974) - 5)
</f>
        <v>#VALUE!</v>
      </c>
      <c r="M974" s="58" t="s">
        <v>32</v>
      </c>
    </row>
    <row r="975">
      <c r="A975" s="53"/>
      <c r="B975" s="50" t="str">
        <f>IFERROR(__xludf.DUMMYFUNCTION("""COMPUTED_VALUE"""),"rRNA depletion method                    ")</f>
        <v>rRNA depletion method                    </v>
      </c>
      <c r="C975" s="53" t="str">
        <f>IFERROR(__xludf.DUMMYFUNCTION("""COMPUTED_VALUE"""),"GENEPIO:0101020")</f>
        <v>GENEPIO:0101020</v>
      </c>
      <c r="D975" s="29" t="str">
        <f>IFERROR(__xludf.DUMMYFUNCTION("""COMPUTED_VALUE"""),"Removal of background RNA for the purposes of enriching the genomic target.")</f>
        <v>Removal of background RNA for the purposes of enriching the genomic target.</v>
      </c>
      <c r="H975" s="52" t="s">
        <v>19</v>
      </c>
      <c r="I975" s="52" t="s">
        <v>19</v>
      </c>
      <c r="J975" s="52" t="s">
        <v>19</v>
      </c>
      <c r="K975" s="52" t="str">
        <f t="shared" ref="K975:K976" si="64">K974</f>
        <v>International</v>
      </c>
      <c r="M975" s="55"/>
    </row>
    <row r="976">
      <c r="A976" s="53" t="str">
        <f>IFERROR(__xludf.DUMMYFUNCTION("""COMPUTED_VALUE"""),"genomic target enrichment method international menu")</f>
        <v>genomic target enrichment method international menu</v>
      </c>
      <c r="B976" s="50" t="str">
        <f>IFERROR(__xludf.DUMMYFUNCTION("""COMPUTED_VALUE"""),"                    ")</f>
        <v>                    </v>
      </c>
      <c r="C976" s="53"/>
      <c r="D976" s="29"/>
      <c r="E976" s="53"/>
      <c r="F976" s="53"/>
      <c r="G976" s="53"/>
      <c r="H976" s="52" t="s">
        <v>19</v>
      </c>
      <c r="I976" s="52" t="s">
        <v>19</v>
      </c>
      <c r="J976" s="52" t="s">
        <v>19</v>
      </c>
      <c r="K976" s="52" t="str">
        <f t="shared" si="64"/>
        <v>International</v>
      </c>
      <c r="M976" s="55"/>
    </row>
    <row r="977">
      <c r="A977" s="53"/>
      <c r="B977" s="50" t="str">
        <f>IFERROR(__xludf.DUMMYFUNCTION("""COMPUTED_VALUE"""),"Hybridization capture [GENEPIO:0001950]                    ")</f>
        <v>Hybridization capture [GENEPIO:0001950]                    </v>
      </c>
      <c r="C977" s="53" t="str">
        <f>IFERROR(__xludf.DUMMYFUNCTION("""COMPUTED_VALUE"""),"GENEPIO:0001950")</f>
        <v>GENEPIO:0001950</v>
      </c>
      <c r="D977" s="29" t="str">
        <f>IFERROR(__xludf.DUMMYFUNCTION("""COMPUTED_VALUE"""),"Selection by hybridization in array or solution.")</f>
        <v>Selection by hybridization in array or solution.</v>
      </c>
      <c r="H977" s="52"/>
      <c r="I977" s="52"/>
      <c r="J977" s="52"/>
      <c r="K977" s="53" t="s">
        <v>29</v>
      </c>
      <c r="L977" s="53" t="str">
        <f>LEFT(A977, LEN(A977) - 5)
</f>
        <v>#VALUE!</v>
      </c>
      <c r="M977" s="53" t="str">
        <f>VLOOKUP(L977,'Field Reference Guide'!$B$6:$N$220,13,false)</f>
        <v>#VALUE!</v>
      </c>
    </row>
    <row r="978">
      <c r="A978" s="53"/>
      <c r="B978" s="50" t="str">
        <f>IFERROR(__xludf.DUMMYFUNCTION("""COMPUTED_VALUE"""),"rRNA depletion method [GENEPIO:0101020]                    ")</f>
        <v>rRNA depletion method [GENEPIO:0101020]                    </v>
      </c>
      <c r="C978" s="53" t="str">
        <f>IFERROR(__xludf.DUMMYFUNCTION("""COMPUTED_VALUE"""),"GENEPIO:0101020")</f>
        <v>GENEPIO:0101020</v>
      </c>
      <c r="D978" s="29" t="str">
        <f>IFERROR(__xludf.DUMMYFUNCTION("""COMPUTED_VALUE"""),"Removal of background RNA for the purposes of enriching the genomic target.")</f>
        <v>Removal of background RNA for the purposes of enriching the genomic target.</v>
      </c>
      <c r="H978" s="52" t="s">
        <v>19</v>
      </c>
      <c r="I978" s="52" t="s">
        <v>19</v>
      </c>
      <c r="J978" s="52" t="s">
        <v>19</v>
      </c>
      <c r="K978" s="52" t="str">
        <f t="shared" ref="K978:K983" si="65">K977</f>
        <v>Mpox</v>
      </c>
      <c r="M978" s="56"/>
    </row>
    <row r="979">
      <c r="A979" s="53" t="str">
        <f>IFERROR(__xludf.DUMMYFUNCTION("""COMPUTED_VALUE"""),"quality control determination menu")</f>
        <v>quality control determination menu</v>
      </c>
      <c r="B979" s="50" t="str">
        <f>IFERROR(__xludf.DUMMYFUNCTION("""COMPUTED_VALUE"""),"                    ")</f>
        <v>                    </v>
      </c>
      <c r="C979" s="53"/>
      <c r="D979" s="29"/>
      <c r="E979" s="53"/>
      <c r="F979" s="53"/>
      <c r="G979" s="53"/>
      <c r="H979" s="52" t="s">
        <v>19</v>
      </c>
      <c r="I979" s="52" t="s">
        <v>19</v>
      </c>
      <c r="J979" s="52" t="s">
        <v>19</v>
      </c>
      <c r="K979" s="52" t="str">
        <f t="shared" si="65"/>
        <v>Mpox</v>
      </c>
      <c r="M979" s="55"/>
    </row>
    <row r="980">
      <c r="A980" s="53"/>
      <c r="B980" s="50" t="str">
        <f>IFERROR(__xludf.DUMMYFUNCTION("""COMPUTED_VALUE"""),"No quality control issues identified                    ")</f>
        <v>No quality control issues identified                    </v>
      </c>
      <c r="C980" s="53" t="str">
        <f>IFERROR(__xludf.DUMMYFUNCTION("""COMPUTED_VALUE"""),"GENEPIO:0100562")</f>
        <v>GENEPIO:0100562</v>
      </c>
      <c r="D980"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80" s="52" t="s">
        <v>19</v>
      </c>
      <c r="I980" s="52" t="s">
        <v>19</v>
      </c>
      <c r="J980" s="52" t="s">
        <v>19</v>
      </c>
      <c r="K980" s="52" t="str">
        <f t="shared" si="65"/>
        <v>Mpox</v>
      </c>
      <c r="M980" s="55"/>
    </row>
    <row r="981">
      <c r="A981" s="53"/>
      <c r="B981" s="50" t="str">
        <f>IFERROR(__xludf.DUMMYFUNCTION("""COMPUTED_VALUE"""),"Sequence passed quality control                    ")</f>
        <v>Sequence passed quality control                    </v>
      </c>
      <c r="C981" s="53" t="str">
        <f>IFERROR(__xludf.DUMMYFUNCTION("""COMPUTED_VALUE"""),"GENEPIO:0100563")</f>
        <v>GENEPIO:0100563</v>
      </c>
      <c r="D981"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81" s="52" t="s">
        <v>19</v>
      </c>
      <c r="I981" s="52" t="s">
        <v>19</v>
      </c>
      <c r="J981" s="52" t="s">
        <v>19</v>
      </c>
      <c r="K981" s="52" t="str">
        <f t="shared" si="65"/>
        <v>Mpox</v>
      </c>
      <c r="M981" s="55"/>
    </row>
    <row r="982">
      <c r="A982" s="53"/>
      <c r="B982" s="50" t="str">
        <f>IFERROR(__xludf.DUMMYFUNCTION("""COMPUTED_VALUE"""),"Sequence failed quality control                    ")</f>
        <v>Sequence failed quality control                    </v>
      </c>
      <c r="C982" s="53" t="str">
        <f>IFERROR(__xludf.DUMMYFUNCTION("""COMPUTED_VALUE"""),"GENEPIO:0100564")</f>
        <v>GENEPIO:0100564</v>
      </c>
      <c r="D982"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2" s="52" t="s">
        <v>19</v>
      </c>
      <c r="I982" s="52" t="s">
        <v>19</v>
      </c>
      <c r="J982" s="52" t="s">
        <v>19</v>
      </c>
      <c r="K982" s="52" t="str">
        <f t="shared" si="65"/>
        <v>Mpox</v>
      </c>
      <c r="M982" s="55"/>
    </row>
    <row r="983">
      <c r="A983" s="53"/>
      <c r="B983" s="50" t="str">
        <f>IFERROR(__xludf.DUMMYFUNCTION("""COMPUTED_VALUE"""),"Minor quality control issues identified                    ")</f>
        <v>Minor quality control issues identified                    </v>
      </c>
      <c r="C983" s="53" t="str">
        <f>IFERROR(__xludf.DUMMYFUNCTION("""COMPUTED_VALUE"""),"GENEPIO:0100565")</f>
        <v>GENEPIO:0100565</v>
      </c>
      <c r="D983"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83" s="52" t="s">
        <v>19</v>
      </c>
      <c r="I983" s="52" t="s">
        <v>19</v>
      </c>
      <c r="J983" s="52" t="s">
        <v>19</v>
      </c>
      <c r="K983" s="52" t="str">
        <f t="shared" si="65"/>
        <v>Mpox</v>
      </c>
      <c r="M983" s="55"/>
    </row>
    <row r="984">
      <c r="A984" s="53"/>
      <c r="B984" s="50" t="str">
        <f>IFERROR(__xludf.DUMMYFUNCTION("""COMPUTED_VALUE"""),"Sequence flagged for potential quality control issues                    ")</f>
        <v>Sequence flagged for potential quality control issues                    </v>
      </c>
      <c r="C984" s="53" t="str">
        <f>IFERROR(__xludf.DUMMYFUNCTION("""COMPUTED_VALUE"""),"GENEPIO:0100566")</f>
        <v>GENEPIO:0100566</v>
      </c>
      <c r="D984"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84" s="52"/>
      <c r="I984" s="52"/>
      <c r="J984" s="52"/>
      <c r="K984" s="53" t="s">
        <v>31</v>
      </c>
      <c r="L984" s="29" t="str">
        <f>LEFT(A984, LEN(A984) - 5)
</f>
        <v>#VALUE!</v>
      </c>
      <c r="M984" s="58" t="s">
        <v>32</v>
      </c>
    </row>
    <row r="985">
      <c r="A985" s="53"/>
      <c r="B985" s="50" t="str">
        <f>IFERROR(__xludf.DUMMYFUNCTION("""COMPUTED_VALUE"""),"Quality control not performed                    ")</f>
        <v>Quality control not performed                    </v>
      </c>
      <c r="C985" s="53" t="str">
        <f>IFERROR(__xludf.DUMMYFUNCTION("""COMPUTED_VALUE"""),"GENEPIO:0100567")</f>
        <v>GENEPIO:0100567</v>
      </c>
      <c r="D985" s="29" t="str">
        <f>IFERROR(__xludf.DUMMYFUNCTION("""COMPUTED_VALUE"""),"A data item which is a statement confirming that quality control processes have not been carried out.")</f>
        <v>A data item which is a statement confirming that quality control processes have not been carried out.</v>
      </c>
      <c r="H985" s="52" t="s">
        <v>19</v>
      </c>
      <c r="I985" s="52" t="s">
        <v>19</v>
      </c>
      <c r="J985" s="52" t="s">
        <v>19</v>
      </c>
      <c r="K985" s="52" t="str">
        <f t="shared" ref="K985:K990" si="66">K984</f>
        <v>International</v>
      </c>
      <c r="M985" s="56"/>
    </row>
    <row r="986">
      <c r="A986" s="53" t="str">
        <f>IFERROR(__xludf.DUMMYFUNCTION("""COMPUTED_VALUE"""),"quality control determination international menu")</f>
        <v>quality control determination international menu</v>
      </c>
      <c r="B986" s="50" t="str">
        <f>IFERROR(__xludf.DUMMYFUNCTION("""COMPUTED_VALUE"""),"                    ")</f>
        <v>                    </v>
      </c>
      <c r="C986" s="53"/>
      <c r="D986" s="29"/>
      <c r="E986" s="53"/>
      <c r="F986" s="53"/>
      <c r="G986" s="53"/>
      <c r="H986" s="52" t="s">
        <v>19</v>
      </c>
      <c r="I986" s="52" t="s">
        <v>19</v>
      </c>
      <c r="J986" s="52" t="s">
        <v>19</v>
      </c>
      <c r="K986" s="52" t="str">
        <f t="shared" si="66"/>
        <v>International</v>
      </c>
      <c r="M986" s="55"/>
    </row>
    <row r="987">
      <c r="A987" s="53"/>
      <c r="B987" s="50" t="str">
        <f>IFERROR(__xludf.DUMMYFUNCTION("""COMPUTED_VALUE"""),"No quality control issues identified [GENEPIO:0100562]                    ")</f>
        <v>No quality control issues identified [GENEPIO:0100562]                    </v>
      </c>
      <c r="C987" s="53" t="str">
        <f>IFERROR(__xludf.DUMMYFUNCTION("""COMPUTED_VALUE"""),"GENEPIO:0100562")</f>
        <v>GENEPIO:0100562</v>
      </c>
      <c r="D987"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87" s="52" t="s">
        <v>19</v>
      </c>
      <c r="I987" s="52" t="s">
        <v>19</v>
      </c>
      <c r="J987" s="52" t="s">
        <v>19</v>
      </c>
      <c r="K987" s="52" t="str">
        <f t="shared" si="66"/>
        <v>International</v>
      </c>
      <c r="M987" s="55"/>
    </row>
    <row r="988">
      <c r="A988" s="53"/>
      <c r="B988" s="50" t="str">
        <f>IFERROR(__xludf.DUMMYFUNCTION("""COMPUTED_VALUE"""),"Sequence passed quality control [GENEPIO:0100563]                    ")</f>
        <v>Sequence passed quality control [GENEPIO:0100563]                    </v>
      </c>
      <c r="C988" s="53" t="str">
        <f>IFERROR(__xludf.DUMMYFUNCTION("""COMPUTED_VALUE"""),"GENEPIO:0100563")</f>
        <v>GENEPIO:0100563</v>
      </c>
      <c r="D988"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88" s="52" t="s">
        <v>19</v>
      </c>
      <c r="I988" s="52" t="s">
        <v>19</v>
      </c>
      <c r="J988" s="52" t="s">
        <v>19</v>
      </c>
      <c r="K988" s="52" t="str">
        <f t="shared" si="66"/>
        <v>International</v>
      </c>
      <c r="M988" s="55"/>
    </row>
    <row r="989">
      <c r="A989" s="53"/>
      <c r="B989" s="50" t="str">
        <f>IFERROR(__xludf.DUMMYFUNCTION("""COMPUTED_VALUE"""),"Sequence failed quality control [GENEPIO:0100564]                    ")</f>
        <v>Sequence failed quality control [GENEPIO:0100564]                    </v>
      </c>
      <c r="C989" s="53" t="str">
        <f>IFERROR(__xludf.DUMMYFUNCTION("""COMPUTED_VALUE"""),"GENEPIO:0100564")</f>
        <v>GENEPIO:0100564</v>
      </c>
      <c r="D989"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9" s="52" t="s">
        <v>19</v>
      </c>
      <c r="I989" s="52" t="s">
        <v>19</v>
      </c>
      <c r="J989" s="52" t="s">
        <v>19</v>
      </c>
      <c r="K989" s="52" t="str">
        <f t="shared" si="66"/>
        <v>International</v>
      </c>
      <c r="M989" s="55"/>
    </row>
    <row r="990">
      <c r="A990" s="53"/>
      <c r="B990" s="50" t="str">
        <f>IFERROR(__xludf.DUMMYFUNCTION("""COMPUTED_VALUE"""),"Minor quality control issues identified [GENEPIO:0100565]                    ")</f>
        <v>Minor quality control issues identified [GENEPIO:0100565]                    </v>
      </c>
      <c r="C990" s="53" t="str">
        <f>IFERROR(__xludf.DUMMYFUNCTION("""COMPUTED_VALUE"""),"GENEPIO:0100565")</f>
        <v>GENEPIO:0100565</v>
      </c>
      <c r="D990"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90" s="52" t="s">
        <v>19</v>
      </c>
      <c r="I990" s="52" t="s">
        <v>19</v>
      </c>
      <c r="J990" s="52" t="s">
        <v>19</v>
      </c>
      <c r="K990" s="52" t="str">
        <f t="shared" si="66"/>
        <v>International</v>
      </c>
      <c r="M990" s="55"/>
    </row>
    <row r="991">
      <c r="A991" s="53"/>
      <c r="B991" s="50" t="str">
        <f>IFERROR(__xludf.DUMMYFUNCTION("""COMPUTED_VALUE"""),"Sequence flagged for potential quality control issues [GENEPIO:0100566]                    ")</f>
        <v>Sequence flagged for potential quality control issues [GENEPIO:0100566]                    </v>
      </c>
      <c r="C991" s="53" t="str">
        <f>IFERROR(__xludf.DUMMYFUNCTION("""COMPUTED_VALUE"""),"GENEPIO:0100566")</f>
        <v>GENEPIO:0100566</v>
      </c>
      <c r="D991"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91" s="52"/>
      <c r="I991" s="52"/>
      <c r="J991" s="52"/>
      <c r="K991" s="53" t="s">
        <v>29</v>
      </c>
      <c r="L991" s="53" t="str">
        <f>LEFT(A991, LEN(A991) - 5)
</f>
        <v>#VALUE!</v>
      </c>
      <c r="M991" s="60" t="s">
        <v>29</v>
      </c>
    </row>
    <row r="992">
      <c r="A992" s="53"/>
      <c r="B992" s="50" t="str">
        <f>IFERROR(__xludf.DUMMYFUNCTION("""COMPUTED_VALUE"""),"Quality control not performed [GENEPIO:0100567]                    ")</f>
        <v>Quality control not performed [GENEPIO:0100567]                    </v>
      </c>
      <c r="C992" s="53" t="str">
        <f>IFERROR(__xludf.DUMMYFUNCTION("""COMPUTED_VALUE"""),"GENEPIO:0100567")</f>
        <v>GENEPIO:0100567</v>
      </c>
      <c r="D992" s="29" t="str">
        <f>IFERROR(__xludf.DUMMYFUNCTION("""COMPUTED_VALUE"""),"A data item which is a statement confirming that quality control processes have not been carried out.")</f>
        <v>A data item which is a statement confirming that quality control processes have not been carried out.</v>
      </c>
      <c r="H992" s="52" t="s">
        <v>19</v>
      </c>
      <c r="I992" s="52" t="s">
        <v>19</v>
      </c>
      <c r="J992" s="52" t="s">
        <v>19</v>
      </c>
      <c r="K992" s="52" t="str">
        <f t="shared" ref="K992:K999" si="67">K991</f>
        <v>Mpox</v>
      </c>
      <c r="M992" s="55"/>
    </row>
    <row r="993">
      <c r="A993" s="53" t="str">
        <f>IFERROR(__xludf.DUMMYFUNCTION("""COMPUTED_VALUE"""),"quality control issues menu")</f>
        <v>quality control issues menu</v>
      </c>
      <c r="B993" s="50" t="str">
        <f>IFERROR(__xludf.DUMMYFUNCTION("""COMPUTED_VALUE"""),"                    ")</f>
        <v>                    </v>
      </c>
      <c r="C993" s="53"/>
      <c r="D993" s="29"/>
      <c r="E993" s="53"/>
      <c r="F993" s="53"/>
      <c r="G993" s="53"/>
      <c r="H993" s="54" t="s">
        <v>19</v>
      </c>
      <c r="I993" s="54" t="s">
        <v>19</v>
      </c>
      <c r="J993" s="54" t="s">
        <v>19</v>
      </c>
      <c r="K993" s="52" t="str">
        <f t="shared" si="67"/>
        <v>Mpox</v>
      </c>
    </row>
    <row r="994">
      <c r="A994" s="53"/>
      <c r="B994" s="50" t="str">
        <f>IFERROR(__xludf.DUMMYFUNCTION("""COMPUTED_VALUE"""),"Low quality sequence                    ")</f>
        <v>Low quality sequence                    </v>
      </c>
      <c r="C994" s="53" t="str">
        <f>IFERROR(__xludf.DUMMYFUNCTION("""COMPUTED_VALUE"""),"GENEPIO:0100568")</f>
        <v>GENEPIO:0100568</v>
      </c>
      <c r="D994" s="29" t="str">
        <f>IFERROR(__xludf.DUMMYFUNCTION("""COMPUTED_VALUE"""),"A data item that describes sequence data that does not meet quality control thresholds.")</f>
        <v>A data item that describes sequence data that does not meet quality control thresholds.</v>
      </c>
      <c r="H994" s="54" t="s">
        <v>19</v>
      </c>
      <c r="I994" s="54" t="s">
        <v>19</v>
      </c>
      <c r="J994" s="54" t="s">
        <v>19</v>
      </c>
      <c r="K994" s="52" t="str">
        <f t="shared" si="67"/>
        <v>Mpox</v>
      </c>
      <c r="M994" s="56"/>
    </row>
    <row r="995">
      <c r="A995" s="53"/>
      <c r="B995" s="50" t="str">
        <f>IFERROR(__xludf.DUMMYFUNCTION("""COMPUTED_VALUE"""),"Sequence contaminated                    ")</f>
        <v>Sequence contaminated                    </v>
      </c>
      <c r="C995" s="53" t="str">
        <f>IFERROR(__xludf.DUMMYFUNCTION("""COMPUTED_VALUE"""),"GENEPIO:0100569")</f>
        <v>GENEPIO:0100569</v>
      </c>
      <c r="D995"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995" s="52" t="s">
        <v>19</v>
      </c>
      <c r="I995" s="52" t="s">
        <v>19</v>
      </c>
      <c r="J995" s="52" t="s">
        <v>19</v>
      </c>
      <c r="K995" s="52" t="str">
        <f t="shared" si="67"/>
        <v>Mpox</v>
      </c>
      <c r="M995" s="55"/>
    </row>
    <row r="996">
      <c r="A996" s="53"/>
      <c r="B996" s="50" t="str">
        <f>IFERROR(__xludf.DUMMYFUNCTION("""COMPUTED_VALUE"""),"Low average genome coverage                    ")</f>
        <v>Low average genome coverage                    </v>
      </c>
      <c r="C996" s="53" t="str">
        <f>IFERROR(__xludf.DUMMYFUNCTION("""COMPUTED_VALUE"""),"GENEPIO:0100570")</f>
        <v>GENEPIO:0100570</v>
      </c>
      <c r="D996"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996" s="52" t="s">
        <v>19</v>
      </c>
      <c r="I996" s="52" t="s">
        <v>19</v>
      </c>
      <c r="J996" s="52" t="s">
        <v>19</v>
      </c>
      <c r="K996" s="52" t="str">
        <f t="shared" si="67"/>
        <v>Mpox</v>
      </c>
      <c r="M996" s="55"/>
    </row>
    <row r="997">
      <c r="A997" s="53"/>
      <c r="B997" s="50" t="str">
        <f>IFERROR(__xludf.DUMMYFUNCTION("""COMPUTED_VALUE"""),"Low percent genome captured                    ")</f>
        <v>Low percent genome captured                    </v>
      </c>
      <c r="C997" s="53" t="str">
        <f>IFERROR(__xludf.DUMMYFUNCTION("""COMPUTED_VALUE"""),"GENEPIO:0100571")</f>
        <v>GENEPIO:0100571</v>
      </c>
      <c r="D997"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997" s="52" t="s">
        <v>19</v>
      </c>
      <c r="I997" s="52" t="s">
        <v>19</v>
      </c>
      <c r="J997" s="52" t="s">
        <v>19</v>
      </c>
      <c r="K997" s="52" t="str">
        <f t="shared" si="67"/>
        <v>Mpox</v>
      </c>
      <c r="M997" s="55"/>
    </row>
    <row r="998">
      <c r="A998" s="53"/>
      <c r="B998" s="50" t="str">
        <f>IFERROR(__xludf.DUMMYFUNCTION("""COMPUTED_VALUE"""),"Read lengths shorter than expected                    ")</f>
        <v>Read lengths shorter than expected                    </v>
      </c>
      <c r="C998" s="53" t="str">
        <f>IFERROR(__xludf.DUMMYFUNCTION("""COMPUTED_VALUE"""),"GENEPIO:0100572")</f>
        <v>GENEPIO:0100572</v>
      </c>
      <c r="D998"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998" s="52" t="s">
        <v>19</v>
      </c>
      <c r="I998" s="52" t="s">
        <v>19</v>
      </c>
      <c r="J998" s="52" t="s">
        <v>19</v>
      </c>
      <c r="K998" s="52" t="str">
        <f t="shared" si="67"/>
        <v>Mpox</v>
      </c>
      <c r="M998" s="55"/>
    </row>
    <row r="999">
      <c r="A999" s="53"/>
      <c r="B999" s="50" t="str">
        <f>IFERROR(__xludf.DUMMYFUNCTION("""COMPUTED_VALUE"""),"Sequence amplification artifacts                    ")</f>
        <v>Sequence amplification artifacts                    </v>
      </c>
      <c r="C999" s="53" t="str">
        <f>IFERROR(__xludf.DUMMYFUNCTION("""COMPUTED_VALUE"""),"GENEPIO:0100573")</f>
        <v>GENEPIO:0100573</v>
      </c>
      <c r="D999"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999" s="52" t="s">
        <v>19</v>
      </c>
      <c r="I999" s="52" t="s">
        <v>19</v>
      </c>
      <c r="J999" s="52" t="s">
        <v>19</v>
      </c>
      <c r="K999" s="52" t="str">
        <f t="shared" si="67"/>
        <v>Mpox</v>
      </c>
      <c r="M999" s="55"/>
    </row>
    <row r="1000">
      <c r="A1000" s="53"/>
      <c r="B1000" s="50" t="str">
        <f>IFERROR(__xludf.DUMMYFUNCTION("""COMPUTED_VALUE"""),"Low signal to noise ratio                    ")</f>
        <v>Low signal to noise ratio                    </v>
      </c>
      <c r="C1000" s="53" t="str">
        <f>IFERROR(__xludf.DUMMYFUNCTION("""COMPUTED_VALUE"""),"GENEPIO:0100574")</f>
        <v>GENEPIO:0100574</v>
      </c>
      <c r="D1000"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0" s="52"/>
      <c r="I1000" s="52"/>
      <c r="J1000" s="52"/>
      <c r="K1000" s="53" t="s">
        <v>31</v>
      </c>
      <c r="L1000" s="29" t="str">
        <f>LEFT(A1000, LEN(A1000) - 5)
</f>
        <v>#VALUE!</v>
      </c>
      <c r="M1000" s="58" t="s">
        <v>32</v>
      </c>
    </row>
    <row r="1001">
      <c r="A1001" s="53"/>
      <c r="B1001" s="50" t="str">
        <f>IFERROR(__xludf.DUMMYFUNCTION("""COMPUTED_VALUE"""),"Low coverage of characteristic mutations                    ")</f>
        <v>Low coverage of characteristic mutations                    </v>
      </c>
      <c r="C1001" s="53" t="str">
        <f>IFERROR(__xludf.DUMMYFUNCTION("""COMPUTED_VALUE"""),"GENEPIO:0100575")</f>
        <v>GENEPIO:0100575</v>
      </c>
      <c r="D1001"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01" s="52" t="s">
        <v>19</v>
      </c>
      <c r="I1001" s="52" t="s">
        <v>19</v>
      </c>
      <c r="J1001" s="52" t="s">
        <v>19</v>
      </c>
      <c r="K1001" s="52" t="str">
        <f t="shared" ref="K1001:K1009" si="68">K1000</f>
        <v>International</v>
      </c>
      <c r="M1001" s="55"/>
    </row>
    <row r="1002">
      <c r="A1002" s="53" t="str">
        <f>IFERROR(__xludf.DUMMYFUNCTION("""COMPUTED_VALUE"""),"quality control issues international menu")</f>
        <v>quality control issues international menu</v>
      </c>
      <c r="B1002" s="50" t="str">
        <f>IFERROR(__xludf.DUMMYFUNCTION("""COMPUTED_VALUE"""),"                    ")</f>
        <v>                    </v>
      </c>
      <c r="C1002" s="53"/>
      <c r="D1002" s="29"/>
      <c r="E1002" s="53"/>
      <c r="F1002" s="53"/>
      <c r="G1002" s="53"/>
      <c r="H1002" s="52" t="s">
        <v>19</v>
      </c>
      <c r="I1002" s="52" t="s">
        <v>19</v>
      </c>
      <c r="J1002" s="52" t="s">
        <v>19</v>
      </c>
      <c r="K1002" s="52" t="str">
        <f t="shared" si="68"/>
        <v>International</v>
      </c>
      <c r="M1002" s="57"/>
    </row>
    <row r="1003">
      <c r="A1003" s="53"/>
      <c r="B1003" s="50" t="str">
        <f>IFERROR(__xludf.DUMMYFUNCTION("""COMPUTED_VALUE"""),"Low quality sequence [GENEPIO:0100568]                    ")</f>
        <v>Low quality sequence [GENEPIO:0100568]                    </v>
      </c>
      <c r="C1003" s="53" t="str">
        <f>IFERROR(__xludf.DUMMYFUNCTION("""COMPUTED_VALUE"""),"GENEPIO:0100568")</f>
        <v>GENEPIO:0100568</v>
      </c>
      <c r="D1003" s="29" t="str">
        <f>IFERROR(__xludf.DUMMYFUNCTION("""COMPUTED_VALUE"""),"A data item that describes sequence data that does not meet quality control thresholds.")</f>
        <v>A data item that describes sequence data that does not meet quality control thresholds.</v>
      </c>
      <c r="H1003" s="54" t="s">
        <v>19</v>
      </c>
      <c r="I1003" s="54" t="s">
        <v>19</v>
      </c>
      <c r="J1003" s="54" t="s">
        <v>19</v>
      </c>
      <c r="K1003" s="52" t="str">
        <f t="shared" si="68"/>
        <v>International</v>
      </c>
    </row>
    <row r="1004">
      <c r="A1004" s="53"/>
      <c r="B1004" s="50" t="str">
        <f>IFERROR(__xludf.DUMMYFUNCTION("""COMPUTED_VALUE"""),"Sequence contaminated [GENEPIO:0100569]                    ")</f>
        <v>Sequence contaminated [GENEPIO:0100569]                    </v>
      </c>
      <c r="C1004" s="53" t="str">
        <f>IFERROR(__xludf.DUMMYFUNCTION("""COMPUTED_VALUE"""),"GENEPIO:0100569")</f>
        <v>GENEPIO:0100569</v>
      </c>
      <c r="D1004"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1004" s="52" t="s">
        <v>19</v>
      </c>
      <c r="I1004" s="52" t="s">
        <v>19</v>
      </c>
      <c r="J1004" s="52" t="s">
        <v>19</v>
      </c>
      <c r="K1004" s="52" t="str">
        <f t="shared" si="68"/>
        <v>International</v>
      </c>
      <c r="M1004" s="56"/>
    </row>
    <row r="1005">
      <c r="A1005" s="53"/>
      <c r="B1005" s="50" t="str">
        <f>IFERROR(__xludf.DUMMYFUNCTION("""COMPUTED_VALUE"""),"Low average genome coverage [GENEPIO:0100570]                    ")</f>
        <v>Low average genome coverage [GENEPIO:0100570]                    </v>
      </c>
      <c r="C1005" s="53" t="str">
        <f>IFERROR(__xludf.DUMMYFUNCTION("""COMPUTED_VALUE"""),"GENEPIO:0100570")</f>
        <v>GENEPIO:0100570</v>
      </c>
      <c r="D1005"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1005" s="52" t="s">
        <v>19</v>
      </c>
      <c r="I1005" s="52" t="s">
        <v>19</v>
      </c>
      <c r="J1005" s="52" t="s">
        <v>19</v>
      </c>
      <c r="K1005" s="52" t="str">
        <f t="shared" si="68"/>
        <v>International</v>
      </c>
      <c r="M1005" s="55"/>
    </row>
    <row r="1006">
      <c r="A1006" s="53"/>
      <c r="B1006" s="50" t="str">
        <f>IFERROR(__xludf.DUMMYFUNCTION("""COMPUTED_VALUE"""),"Low percent genome captured [GENEPIO:0100571]                    ")</f>
        <v>Low percent genome captured [GENEPIO:0100571]                    </v>
      </c>
      <c r="C1006" s="53" t="str">
        <f>IFERROR(__xludf.DUMMYFUNCTION("""COMPUTED_VALUE"""),"GENEPIO:0100571")</f>
        <v>GENEPIO:0100571</v>
      </c>
      <c r="D1006"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1006" s="52" t="s">
        <v>19</v>
      </c>
      <c r="I1006" s="52" t="s">
        <v>19</v>
      </c>
      <c r="J1006" s="52" t="s">
        <v>19</v>
      </c>
      <c r="K1006" s="52" t="str">
        <f t="shared" si="68"/>
        <v>International</v>
      </c>
      <c r="M1006" s="55"/>
    </row>
    <row r="1007">
      <c r="A1007" s="53"/>
      <c r="B1007" s="50" t="str">
        <f>IFERROR(__xludf.DUMMYFUNCTION("""COMPUTED_VALUE"""),"Read lengths shorter than expected [GENEPIO:0100572]                    ")</f>
        <v>Read lengths shorter than expected [GENEPIO:0100572]                    </v>
      </c>
      <c r="C1007" s="53" t="str">
        <f>IFERROR(__xludf.DUMMYFUNCTION("""COMPUTED_VALUE"""),"GENEPIO:0100572")</f>
        <v>GENEPIO:0100572</v>
      </c>
      <c r="D1007"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1007" s="52" t="s">
        <v>19</v>
      </c>
      <c r="I1007" s="52" t="s">
        <v>19</v>
      </c>
      <c r="J1007" s="52" t="s">
        <v>19</v>
      </c>
      <c r="K1007" s="52" t="str">
        <f t="shared" si="68"/>
        <v>International</v>
      </c>
      <c r="M1007" s="55"/>
    </row>
    <row r="1008">
      <c r="A1008" s="53"/>
      <c r="B1008" s="50" t="str">
        <f>IFERROR(__xludf.DUMMYFUNCTION("""COMPUTED_VALUE"""),"Sequence amplification artifacts [GENEPIO:0100573]                    ")</f>
        <v>Sequence amplification artifacts [GENEPIO:0100573]                    </v>
      </c>
      <c r="C1008" s="53" t="str">
        <f>IFERROR(__xludf.DUMMYFUNCTION("""COMPUTED_VALUE"""),"GENEPIO:0100573")</f>
        <v>GENEPIO:0100573</v>
      </c>
      <c r="D1008"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1008" s="52" t="s">
        <v>19</v>
      </c>
      <c r="I1008" s="52" t="s">
        <v>19</v>
      </c>
      <c r="J1008" s="52" t="s">
        <v>19</v>
      </c>
      <c r="K1008" s="52" t="str">
        <f t="shared" si="68"/>
        <v>International</v>
      </c>
      <c r="M1008" s="55"/>
    </row>
    <row r="1009">
      <c r="A1009" s="53"/>
      <c r="B1009" s="50" t="str">
        <f>IFERROR(__xludf.DUMMYFUNCTION("""COMPUTED_VALUE"""),"Low signal to noise ratio [GENEPIO:0100574]                    ")</f>
        <v>Low signal to noise ratio [GENEPIO:0100574]                    </v>
      </c>
      <c r="C1009" s="53" t="str">
        <f>IFERROR(__xludf.DUMMYFUNCTION("""COMPUTED_VALUE"""),"GENEPIO:0100574")</f>
        <v>GENEPIO:0100574</v>
      </c>
      <c r="D1009"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9" s="52" t="s">
        <v>19</v>
      </c>
      <c r="I1009" s="52" t="s">
        <v>19</v>
      </c>
      <c r="J1009" s="52" t="s">
        <v>19</v>
      </c>
      <c r="K1009" s="52" t="str">
        <f t="shared" si="68"/>
        <v>International</v>
      </c>
      <c r="M1009" s="55"/>
    </row>
    <row r="1010">
      <c r="A1010" s="53"/>
      <c r="B1010" s="50" t="str">
        <f>IFERROR(__xludf.DUMMYFUNCTION("""COMPUTED_VALUE"""),"Low coverage of characteristic mutations [GENEPIO:0100575]                    ")</f>
        <v>Low coverage of characteristic mutations [GENEPIO:0100575]                    </v>
      </c>
      <c r="C1010" s="53" t="str">
        <f>IFERROR(__xludf.DUMMYFUNCTION("""COMPUTED_VALUE"""),"GENEPIO:0100575")</f>
        <v>GENEPIO:0100575</v>
      </c>
      <c r="D1010"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10" s="52"/>
      <c r="I1010" s="52"/>
      <c r="J1010" s="52"/>
      <c r="K1010" s="53" t="s">
        <v>29</v>
      </c>
      <c r="L1010" s="53" t="str">
        <f>LEFT(A1010, LEN(A1010) - 5)
</f>
        <v>#VALUE!</v>
      </c>
      <c r="M1010" s="60" t="s">
        <v>29</v>
      </c>
    </row>
    <row r="1011">
      <c r="A1011" s="53"/>
      <c r="B1011" s="50" t="str">
        <f>IFERROR(__xludf.DUMMYFUNCTION("""COMPUTED_VALUE"""),"                    ")</f>
        <v>                    </v>
      </c>
      <c r="C1011" s="53"/>
      <c r="D1011" s="29"/>
      <c r="H1011" s="52" t="s">
        <v>19</v>
      </c>
      <c r="I1011" s="52" t="s">
        <v>19</v>
      </c>
      <c r="J1011" s="52" t="s">
        <v>19</v>
      </c>
      <c r="K1011" s="52" t="str">
        <f t="shared" ref="K1011:K1035" si="69">K1010</f>
        <v>Mpox</v>
      </c>
      <c r="M1011" s="55"/>
    </row>
    <row r="1012">
      <c r="A1012" s="53" t="str">
        <f>IFERROR(__xludf.DUMMYFUNCTION("""COMPUTED_VALUE"""),"sequence submitted by menu")</f>
        <v>sequence submitted by menu</v>
      </c>
      <c r="B1012" s="50" t="str">
        <f>IFERROR(__xludf.DUMMYFUNCTION("""COMPUTED_VALUE"""),"                    ")</f>
        <v>                    </v>
      </c>
      <c r="C1012" s="53"/>
      <c r="D1012" s="29"/>
      <c r="E1012" s="53"/>
      <c r="F1012" s="53"/>
      <c r="G1012" s="53"/>
      <c r="H1012" s="52" t="s">
        <v>19</v>
      </c>
      <c r="I1012" s="52" t="s">
        <v>19</v>
      </c>
      <c r="J1012" s="52" t="s">
        <v>19</v>
      </c>
      <c r="K1012" s="52" t="str">
        <f t="shared" si="69"/>
        <v>Mpox</v>
      </c>
      <c r="M1012" s="55"/>
    </row>
    <row r="1013">
      <c r="A1013" s="53"/>
      <c r="B1013" s="50" t="str">
        <f>IFERROR(__xludf.DUMMYFUNCTION("""COMPUTED_VALUE"""),"Alberta Precision Labs (APL)                    ")</f>
        <v>Alberta Precision Labs (APL)                    </v>
      </c>
      <c r="C1013" s="53"/>
      <c r="D1013" s="29" t="str">
        <f>IFERROR(__xludf.DUMMYFUNCTION("""COMPUTED_VALUE"""),"")</f>
        <v/>
      </c>
      <c r="H1013" s="52" t="s">
        <v>19</v>
      </c>
      <c r="I1013" s="52" t="s">
        <v>19</v>
      </c>
      <c r="J1013" s="52" t="s">
        <v>19</v>
      </c>
      <c r="K1013" s="52" t="str">
        <f t="shared" si="69"/>
        <v>Mpox</v>
      </c>
      <c r="M1013" s="55"/>
    </row>
    <row r="1014">
      <c r="A1014" s="53"/>
      <c r="B1014" s="50" t="str">
        <f>IFERROR(__xludf.DUMMYFUNCTION("""COMPUTED_VALUE"""),"     Alberta ProvLab North (APLN)               ")</f>
        <v>     Alberta ProvLab North (APLN)               </v>
      </c>
      <c r="C1014" s="53"/>
      <c r="D1014" s="29"/>
      <c r="H1014" s="52" t="s">
        <v>19</v>
      </c>
      <c r="I1014" s="52" t="s">
        <v>19</v>
      </c>
      <c r="J1014" s="52" t="s">
        <v>19</v>
      </c>
      <c r="K1014" s="52" t="str">
        <f t="shared" si="69"/>
        <v>Mpox</v>
      </c>
      <c r="M1014" s="55"/>
    </row>
    <row r="1015">
      <c r="A1015" s="53"/>
      <c r="B1015" s="50" t="str">
        <f>IFERROR(__xludf.DUMMYFUNCTION("""COMPUTED_VALUE"""),"     Alberta ProvLab South (APLS)               ")</f>
        <v>     Alberta ProvLab South (APLS)               </v>
      </c>
      <c r="C1015" s="53"/>
      <c r="D1015" s="29"/>
      <c r="H1015" s="52" t="s">
        <v>19</v>
      </c>
      <c r="I1015" s="52" t="s">
        <v>19</v>
      </c>
      <c r="J1015" s="52" t="s">
        <v>19</v>
      </c>
      <c r="K1015" s="52" t="str">
        <f t="shared" si="69"/>
        <v>Mpox</v>
      </c>
      <c r="M1015" s="55"/>
    </row>
    <row r="1016">
      <c r="A1016" s="53"/>
      <c r="B1016" s="50" t="str">
        <f>IFERROR(__xludf.DUMMYFUNCTION("""COMPUTED_VALUE"""),"BCCDC Public Health Laboratory                    ")</f>
        <v>BCCDC Public Health Laboratory                    </v>
      </c>
      <c r="C1016" s="53"/>
      <c r="D1016" s="29" t="str">
        <f>IFERROR(__xludf.DUMMYFUNCTION("""COMPUTED_VALUE"""),"")</f>
        <v/>
      </c>
      <c r="H1016" s="52" t="s">
        <v>19</v>
      </c>
      <c r="I1016" s="52" t="s">
        <v>19</v>
      </c>
      <c r="J1016" s="52" t="s">
        <v>19</v>
      </c>
      <c r="K1016" s="52" t="str">
        <f t="shared" si="69"/>
        <v>Mpox</v>
      </c>
      <c r="M1016" s="55"/>
    </row>
    <row r="1017">
      <c r="A1017" s="53"/>
      <c r="B1017" s="50" t="str">
        <f>IFERROR(__xludf.DUMMYFUNCTION("""COMPUTED_VALUE"""),"Canadore College                    ")</f>
        <v>Canadore College                    </v>
      </c>
      <c r="C1017" s="53"/>
      <c r="D1017" s="29" t="str">
        <f>IFERROR(__xludf.DUMMYFUNCTION("""COMPUTED_VALUE"""),"")</f>
        <v/>
      </c>
      <c r="H1017" s="52" t="s">
        <v>19</v>
      </c>
      <c r="I1017" s="52" t="s">
        <v>19</v>
      </c>
      <c r="J1017" s="52" t="s">
        <v>19</v>
      </c>
      <c r="K1017" s="52" t="str">
        <f t="shared" si="69"/>
        <v>Mpox</v>
      </c>
      <c r="M1017" s="55"/>
    </row>
    <row r="1018">
      <c r="A1018" s="53"/>
      <c r="B1018" s="50" t="str">
        <f>IFERROR(__xludf.DUMMYFUNCTION("""COMPUTED_VALUE"""),"The Centre for Applied Genomics (TCAG)                    ")</f>
        <v>The Centre for Applied Genomics (TCAG)                    </v>
      </c>
      <c r="C1018" s="53"/>
      <c r="D1018" s="29" t="str">
        <f>IFERROR(__xludf.DUMMYFUNCTION("""COMPUTED_VALUE"""),"")</f>
        <v/>
      </c>
      <c r="H1018" s="52" t="s">
        <v>19</v>
      </c>
      <c r="I1018" s="52" t="s">
        <v>19</v>
      </c>
      <c r="J1018" s="52" t="s">
        <v>19</v>
      </c>
      <c r="K1018" s="52" t="str">
        <f t="shared" si="69"/>
        <v>Mpox</v>
      </c>
      <c r="M1018" s="55"/>
    </row>
    <row r="1019">
      <c r="A1019" s="53"/>
      <c r="B1019" s="50" t="str">
        <f>IFERROR(__xludf.DUMMYFUNCTION("""COMPUTED_VALUE"""),"Dynacare                    ")</f>
        <v>Dynacare                    </v>
      </c>
      <c r="C1019" s="53"/>
      <c r="D1019" s="29" t="str">
        <f>IFERROR(__xludf.DUMMYFUNCTION("""COMPUTED_VALUE"""),"")</f>
        <v/>
      </c>
      <c r="H1019" s="52" t="s">
        <v>19</v>
      </c>
      <c r="I1019" s="52" t="s">
        <v>19</v>
      </c>
      <c r="J1019" s="52" t="s">
        <v>19</v>
      </c>
      <c r="K1019" s="52" t="str">
        <f t="shared" si="69"/>
        <v>Mpox</v>
      </c>
      <c r="M1019" s="55"/>
    </row>
    <row r="1020">
      <c r="A1020" s="53"/>
      <c r="B1020" s="50" t="str">
        <f>IFERROR(__xludf.DUMMYFUNCTION("""COMPUTED_VALUE"""),"Dynacare (Brampton)                    ")</f>
        <v>Dynacare (Brampton)                    </v>
      </c>
      <c r="C1020" s="53"/>
      <c r="D1020" s="29" t="str">
        <f>IFERROR(__xludf.DUMMYFUNCTION("""COMPUTED_VALUE"""),"")</f>
        <v/>
      </c>
      <c r="H1020" s="52" t="s">
        <v>19</v>
      </c>
      <c r="I1020" s="52" t="s">
        <v>19</v>
      </c>
      <c r="J1020" s="52" t="s">
        <v>19</v>
      </c>
      <c r="K1020" s="52" t="str">
        <f t="shared" si="69"/>
        <v>Mpox</v>
      </c>
      <c r="M1020" s="55"/>
    </row>
    <row r="1021">
      <c r="A1021" s="53"/>
      <c r="B1021" s="50" t="str">
        <f>IFERROR(__xludf.DUMMYFUNCTION("""COMPUTED_VALUE"""),"Dynacare (Manitoba)                    ")</f>
        <v>Dynacare (Manitoba)                    </v>
      </c>
      <c r="C1021" s="53"/>
      <c r="D1021" s="29" t="str">
        <f>IFERROR(__xludf.DUMMYFUNCTION("""COMPUTED_VALUE"""),"")</f>
        <v/>
      </c>
      <c r="H1021" s="52" t="s">
        <v>19</v>
      </c>
      <c r="I1021" s="52" t="s">
        <v>19</v>
      </c>
      <c r="J1021" s="52" t="s">
        <v>19</v>
      </c>
      <c r="K1021" s="52" t="str">
        <f t="shared" si="69"/>
        <v>Mpox</v>
      </c>
      <c r="M1021" s="55"/>
    </row>
    <row r="1022">
      <c r="A1022" s="53"/>
      <c r="B1022" s="50" t="str">
        <f>IFERROR(__xludf.DUMMYFUNCTION("""COMPUTED_VALUE"""),"The Hospital for Sick Children (SickKids)                    ")</f>
        <v>The Hospital for Sick Children (SickKids)                    </v>
      </c>
      <c r="C1022" s="53"/>
      <c r="D1022" s="29" t="str">
        <f>IFERROR(__xludf.DUMMYFUNCTION("""COMPUTED_VALUE"""),"")</f>
        <v/>
      </c>
      <c r="H1022" s="52" t="s">
        <v>19</v>
      </c>
      <c r="I1022" s="52" t="s">
        <v>19</v>
      </c>
      <c r="J1022" s="52" t="s">
        <v>19</v>
      </c>
      <c r="K1022" s="52" t="str">
        <f t="shared" si="69"/>
        <v>Mpox</v>
      </c>
      <c r="M1022" s="55"/>
    </row>
    <row r="1023">
      <c r="A1023" s="53"/>
      <c r="B1023" s="50" t="str">
        <f>IFERROR(__xludf.DUMMYFUNCTION("""COMPUTED_VALUE"""),"Laboratoire de santé publique du Québec (LSPQ)                    ")</f>
        <v>Laboratoire de santé publique du Québec (LSPQ)                    </v>
      </c>
      <c r="C1023" s="53"/>
      <c r="D1023" s="29" t="str">
        <f>IFERROR(__xludf.DUMMYFUNCTION("""COMPUTED_VALUE"""),"")</f>
        <v/>
      </c>
      <c r="H1023" s="52" t="s">
        <v>19</v>
      </c>
      <c r="I1023" s="52" t="s">
        <v>19</v>
      </c>
      <c r="J1023" s="52" t="s">
        <v>19</v>
      </c>
      <c r="K1023" s="52" t="str">
        <f t="shared" si="69"/>
        <v>Mpox</v>
      </c>
      <c r="M1023" s="55"/>
    </row>
    <row r="1024">
      <c r="A1024" s="53"/>
      <c r="B1024" s="50" t="str">
        <f>IFERROR(__xludf.DUMMYFUNCTION("""COMPUTED_VALUE"""),"Manitoba Cadham Provincial Laboratory                    ")</f>
        <v>Manitoba Cadham Provincial Laboratory                    </v>
      </c>
      <c r="C1024" s="53"/>
      <c r="D1024" s="29" t="str">
        <f>IFERROR(__xludf.DUMMYFUNCTION("""COMPUTED_VALUE"""),"")</f>
        <v/>
      </c>
      <c r="H1024" s="52" t="s">
        <v>19</v>
      </c>
      <c r="I1024" s="52" t="s">
        <v>19</v>
      </c>
      <c r="J1024" s="52" t="s">
        <v>19</v>
      </c>
      <c r="K1024" s="52" t="str">
        <f t="shared" si="69"/>
        <v>Mpox</v>
      </c>
      <c r="M1024" s="55"/>
    </row>
    <row r="1025">
      <c r="A1025" s="53"/>
      <c r="B1025" s="50" t="str">
        <f>IFERROR(__xludf.DUMMYFUNCTION("""COMPUTED_VALUE"""),"McGill University                    ")</f>
        <v>McGill University                    </v>
      </c>
      <c r="C1025" s="53"/>
      <c r="D1025" s="29" t="str">
        <f>IFERROR(__xludf.DUMMYFUNCTION("""COMPUTED_VALUE"""),"McGill University is an English-language public research university located in Montreal, Quebec, Canada.")</f>
        <v>McGill University is an English-language public research university located in Montreal, Quebec, Canada.</v>
      </c>
      <c r="H1025" s="52" t="s">
        <v>19</v>
      </c>
      <c r="I1025" s="52" t="s">
        <v>19</v>
      </c>
      <c r="J1025" s="52" t="s">
        <v>19</v>
      </c>
      <c r="K1025" s="52" t="str">
        <f t="shared" si="69"/>
        <v>Mpox</v>
      </c>
      <c r="M1025" s="55"/>
    </row>
    <row r="1026">
      <c r="A1026" s="53"/>
      <c r="B1026" s="50" t="str">
        <f>IFERROR(__xludf.DUMMYFUNCTION("""COMPUTED_VALUE"""),"McMaster University                    ")</f>
        <v>McMaster University                    </v>
      </c>
      <c r="C1026" s="53"/>
      <c r="D1026" s="29" t="str">
        <f>IFERROR(__xludf.DUMMYFUNCTION("""COMPUTED_VALUE"""),"")</f>
        <v/>
      </c>
      <c r="H1026" s="52" t="s">
        <v>19</v>
      </c>
      <c r="I1026" s="52" t="s">
        <v>19</v>
      </c>
      <c r="J1026" s="52" t="s">
        <v>19</v>
      </c>
      <c r="K1026" s="52" t="str">
        <f t="shared" si="69"/>
        <v>Mpox</v>
      </c>
      <c r="M1026" s="55"/>
    </row>
    <row r="1027">
      <c r="A1027" s="53"/>
      <c r="B1027" s="50" t="str">
        <f>IFERROR(__xludf.DUMMYFUNCTION("""COMPUTED_VALUE"""),"National Microbiology Laboratory (NML)                    ")</f>
        <v>National Microbiology Laboratory (NML)                    </v>
      </c>
      <c r="C1027" s="53"/>
      <c r="D1027" s="29" t="str">
        <f>IFERROR(__xludf.DUMMYFUNCTION("""COMPUTED_VALUE"""),"")</f>
        <v/>
      </c>
      <c r="H1027" s="52" t="s">
        <v>19</v>
      </c>
      <c r="I1027" s="52" t="s">
        <v>19</v>
      </c>
      <c r="J1027" s="52" t="s">
        <v>19</v>
      </c>
      <c r="K1027" s="52" t="str">
        <f t="shared" si="69"/>
        <v>Mpox</v>
      </c>
      <c r="M1027" s="55"/>
    </row>
    <row r="1028">
      <c r="A1028" s="53"/>
      <c r="B1028" s="50" t="str">
        <f>IFERROR(__xludf.DUMMYFUNCTION("""COMPUTED_VALUE"""),"New Brunswick - Vitalité Health Network                    ")</f>
        <v>New Brunswick - Vitalité Health Network                    </v>
      </c>
      <c r="C1028" s="53"/>
      <c r="D1028" s="29" t="str">
        <f>IFERROR(__xludf.DUMMYFUNCTION("""COMPUTED_VALUE"""),"")</f>
        <v/>
      </c>
      <c r="H1028" s="54" t="s">
        <v>19</v>
      </c>
      <c r="I1028" s="54" t="s">
        <v>19</v>
      </c>
      <c r="J1028" s="54" t="s">
        <v>19</v>
      </c>
      <c r="K1028" s="52" t="str">
        <f t="shared" si="69"/>
        <v>Mpox</v>
      </c>
      <c r="M1028" s="55"/>
    </row>
    <row r="1029">
      <c r="A1029" s="53"/>
      <c r="B1029" s="50" t="str">
        <f>IFERROR(__xludf.DUMMYFUNCTION("""COMPUTED_VALUE"""),"Newfoundland and Labrador - Eastern Health                    ")</f>
        <v>Newfoundland and Labrador - Eastern Health                    </v>
      </c>
      <c r="C1029" s="53"/>
      <c r="D1029" s="29" t="str">
        <f>IFERROR(__xludf.DUMMYFUNCTION("""COMPUTED_VALUE"""),"")</f>
        <v/>
      </c>
      <c r="H1029" s="54" t="s">
        <v>19</v>
      </c>
      <c r="I1029" s="54" t="s">
        <v>19</v>
      </c>
      <c r="J1029" s="54" t="s">
        <v>19</v>
      </c>
      <c r="K1029" s="52" t="str">
        <f t="shared" si="69"/>
        <v>Mpox</v>
      </c>
    </row>
    <row r="1030">
      <c r="A1030" s="53"/>
      <c r="B1030" s="50" t="str">
        <f>IFERROR(__xludf.DUMMYFUNCTION("""COMPUTED_VALUE"""),"Nova Scotia Health Authority                    ")</f>
        <v>Nova Scotia Health Authority                    </v>
      </c>
      <c r="C1030" s="53"/>
      <c r="D1030" s="29" t="str">
        <f>IFERROR(__xludf.DUMMYFUNCTION("""COMPUTED_VALUE"""),"")</f>
        <v/>
      </c>
      <c r="H1030" s="52" t="s">
        <v>19</v>
      </c>
      <c r="I1030" s="52" t="s">
        <v>19</v>
      </c>
      <c r="J1030" s="52" t="s">
        <v>19</v>
      </c>
      <c r="K1030" s="52" t="str">
        <f t="shared" si="69"/>
        <v>Mpox</v>
      </c>
      <c r="M1030" s="56"/>
    </row>
    <row r="1031">
      <c r="A1031" s="53"/>
      <c r="B1031" s="50" t="str">
        <f>IFERROR(__xludf.DUMMYFUNCTION("""COMPUTED_VALUE"""),"Ontario Institute for Cancer Research (OICR)                    ")</f>
        <v>Ontario Institute for Cancer Research (OICR)                    </v>
      </c>
      <c r="C1031" s="53"/>
      <c r="D1031" s="29" t="str">
        <f>IFERROR(__xludf.DUMMYFUNCTION("""COMPUTED_VALUE"""),"")</f>
        <v/>
      </c>
      <c r="H1031" s="52" t="s">
        <v>19</v>
      </c>
      <c r="I1031" s="52" t="s">
        <v>19</v>
      </c>
      <c r="J1031" s="52" t="s">
        <v>19</v>
      </c>
      <c r="K1031" s="52" t="str">
        <f t="shared" si="69"/>
        <v>Mpox</v>
      </c>
      <c r="M1031" s="55"/>
    </row>
    <row r="1032">
      <c r="A1032" s="53"/>
      <c r="B1032" s="50" t="str">
        <f>IFERROR(__xludf.DUMMYFUNCTION("""COMPUTED_VALUE"""),"Prince Edward Island - Health PEI                    ")</f>
        <v>Prince Edward Island - Health PEI                    </v>
      </c>
      <c r="C1032" s="53"/>
      <c r="D1032" s="29" t="str">
        <f>IFERROR(__xludf.DUMMYFUNCTION("""COMPUTED_VALUE"""),"")</f>
        <v/>
      </c>
      <c r="H1032" s="52" t="s">
        <v>19</v>
      </c>
      <c r="I1032" s="52" t="s">
        <v>19</v>
      </c>
      <c r="J1032" s="52" t="s">
        <v>19</v>
      </c>
      <c r="K1032" s="52" t="str">
        <f t="shared" si="69"/>
        <v>Mpox</v>
      </c>
      <c r="M1032" s="55"/>
    </row>
    <row r="1033">
      <c r="A1033" s="53"/>
      <c r="B1033" s="50" t="str">
        <f>IFERROR(__xludf.DUMMYFUNCTION("""COMPUTED_VALUE"""),"Public Health Ontario (PHO)                    ")</f>
        <v>Public Health Ontario (PHO)                    </v>
      </c>
      <c r="C1033" s="53"/>
      <c r="D1033" s="29" t="str">
        <f>IFERROR(__xludf.DUMMYFUNCTION("""COMPUTED_VALUE"""),"")</f>
        <v/>
      </c>
      <c r="H1033" s="52" t="s">
        <v>19</v>
      </c>
      <c r="I1033" s="52" t="s">
        <v>19</v>
      </c>
      <c r="J1033" s="52" t="s">
        <v>19</v>
      </c>
      <c r="K1033" s="52" t="str">
        <f t="shared" si="69"/>
        <v>Mpox</v>
      </c>
      <c r="M1033" s="55"/>
    </row>
    <row r="1034">
      <c r="A1034" s="53"/>
      <c r="B1034" s="50" t="str">
        <f>IFERROR(__xludf.DUMMYFUNCTION("""COMPUTED_VALUE"""),"Queen's University / Kingston Health Sciences Centre                    ")</f>
        <v>Queen's University / Kingston Health Sciences Centre                    </v>
      </c>
      <c r="C1034" s="53"/>
      <c r="D1034" s="29" t="str">
        <f>IFERROR(__xludf.DUMMYFUNCTION("""COMPUTED_VALUE"""),"")</f>
        <v/>
      </c>
      <c r="H1034" s="52" t="s">
        <v>19</v>
      </c>
      <c r="I1034" s="52" t="s">
        <v>19</v>
      </c>
      <c r="J1034" s="52" t="s">
        <v>19</v>
      </c>
      <c r="K1034" s="52" t="str">
        <f t="shared" si="69"/>
        <v>Mpox</v>
      </c>
      <c r="M1034" s="55"/>
    </row>
    <row r="1035">
      <c r="A1035" s="29"/>
      <c r="B1035" s="50" t="str">
        <f>IFERROR(__xludf.DUMMYFUNCTION("""COMPUTED_VALUE"""),"Saskatchewan - Roy Romanow Provincial Laboratory (RRPL)                    ")</f>
        <v>Saskatchewan - Roy Romanow Provincial Laboratory (RRPL)                    </v>
      </c>
      <c r="C1035" s="29"/>
      <c r="D1035" s="29" t="str">
        <f>IFERROR(__xludf.DUMMYFUNCTION("""COMPUTED_VALUE"""),"")</f>
        <v/>
      </c>
      <c r="E1035" s="29"/>
      <c r="F1035" s="29"/>
      <c r="G1035" s="29"/>
      <c r="H1035" s="52" t="s">
        <v>19</v>
      </c>
      <c r="I1035" s="52" t="s">
        <v>19</v>
      </c>
      <c r="J1035" s="52" t="s">
        <v>19</v>
      </c>
      <c r="K1035" s="52" t="str">
        <f t="shared" si="69"/>
        <v>Mpox</v>
      </c>
      <c r="M1035" s="55"/>
    </row>
    <row r="1036">
      <c r="A1036" s="53"/>
      <c r="B1036" s="50" t="str">
        <f>IFERROR(__xludf.DUMMYFUNCTION("""COMPUTED_VALUE"""),"Sunnybrook Health Sciences Centre                    ")</f>
        <v>Sunnybrook Health Sciences Centre                    </v>
      </c>
      <c r="C1036" s="53"/>
      <c r="D1036" s="29" t="str">
        <f>IFERROR(__xludf.DUMMYFUNCTION("""COMPUTED_VALUE"""),"")</f>
        <v/>
      </c>
      <c r="H1036" s="52"/>
      <c r="I1036" s="52"/>
      <c r="J1036" s="52"/>
      <c r="K1036" s="53" t="s">
        <v>29</v>
      </c>
      <c r="L1036" s="53" t="str">
        <f>LEFT(A1036, LEN(A1036) - 5)
</f>
        <v>#VALUE!</v>
      </c>
      <c r="M1036" s="60" t="s">
        <v>29</v>
      </c>
    </row>
    <row r="1037">
      <c r="A1037" s="53"/>
      <c r="B1037" s="50" t="str">
        <f>IFERROR(__xludf.DUMMYFUNCTION("""COMPUTED_VALUE"""),"Thunder Bay Regional Health Sciences Centre                    ")</f>
        <v>Thunder Bay Regional Health Sciences Centre                    </v>
      </c>
      <c r="C1037" s="53"/>
      <c r="D1037" s="29" t="str">
        <f>IFERROR(__xludf.DUMMYFUNCTION("""COMPUTED_VALUE"""),"")</f>
        <v/>
      </c>
      <c r="H1037" s="52" t="s">
        <v>19</v>
      </c>
      <c r="I1037" s="52" t="s">
        <v>19</v>
      </c>
      <c r="J1037" s="52" t="s">
        <v>19</v>
      </c>
      <c r="K1037" s="52" t="str">
        <f t="shared" ref="K1037:K1061" si="70">K1036</f>
        <v>Mpox</v>
      </c>
      <c r="M1037" s="55"/>
    </row>
    <row r="1038">
      <c r="A1038" s="53" t="str">
        <f>IFERROR(__xludf.DUMMYFUNCTION("""COMPUTED_VALUE"""),"sequenced by menu")</f>
        <v>sequenced by menu</v>
      </c>
      <c r="B1038" s="50" t="str">
        <f>IFERROR(__xludf.DUMMYFUNCTION("""COMPUTED_VALUE"""),"                    ")</f>
        <v>                    </v>
      </c>
      <c r="C1038" s="53"/>
      <c r="D1038" s="29" t="str">
        <f>IFERROR(__xludf.DUMMYFUNCTION("""COMPUTED_VALUE"""),"")</f>
        <v/>
      </c>
      <c r="E1038" s="53"/>
      <c r="F1038" s="53"/>
      <c r="G1038" s="53"/>
      <c r="H1038" s="52" t="s">
        <v>19</v>
      </c>
      <c r="I1038" s="52" t="s">
        <v>19</v>
      </c>
      <c r="J1038" s="52" t="s">
        <v>19</v>
      </c>
      <c r="K1038" s="52" t="str">
        <f t="shared" si="70"/>
        <v>Mpox</v>
      </c>
      <c r="M1038" s="55"/>
    </row>
    <row r="1039">
      <c r="A1039" s="53"/>
      <c r="B1039" s="50" t="str">
        <f>IFERROR(__xludf.DUMMYFUNCTION("""COMPUTED_VALUE"""),"Alberta Precision Labs (APL)                    ")</f>
        <v>Alberta Precision Labs (APL)                    </v>
      </c>
      <c r="C1039" s="53"/>
      <c r="D1039" s="29" t="str">
        <f>IFERROR(__xludf.DUMMYFUNCTION("""COMPUTED_VALUE"""),"")</f>
        <v/>
      </c>
      <c r="H1039" s="52" t="s">
        <v>19</v>
      </c>
      <c r="I1039" s="52" t="s">
        <v>19</v>
      </c>
      <c r="J1039" s="52" t="s">
        <v>19</v>
      </c>
      <c r="K1039" s="52" t="str">
        <f t="shared" si="70"/>
        <v>Mpox</v>
      </c>
      <c r="M1039" s="55"/>
    </row>
    <row r="1040">
      <c r="A1040" s="53"/>
      <c r="B1040" s="50" t="str">
        <f>IFERROR(__xludf.DUMMYFUNCTION("""COMPUTED_VALUE"""),"     Alberta ProvLab North (APLN)               ")</f>
        <v>     Alberta ProvLab North (APLN)               </v>
      </c>
      <c r="C1040" s="53"/>
      <c r="D1040" s="29"/>
      <c r="H1040" s="52" t="s">
        <v>19</v>
      </c>
      <c r="I1040" s="52" t="s">
        <v>19</v>
      </c>
      <c r="J1040" s="52" t="s">
        <v>19</v>
      </c>
      <c r="K1040" s="52" t="str">
        <f t="shared" si="70"/>
        <v>Mpox</v>
      </c>
      <c r="M1040" s="55"/>
    </row>
    <row r="1041">
      <c r="A1041" s="53"/>
      <c r="B1041" s="50" t="str">
        <f>IFERROR(__xludf.DUMMYFUNCTION("""COMPUTED_VALUE"""),"     Alberta ProvLab South (APLS)               ")</f>
        <v>     Alberta ProvLab South (APLS)               </v>
      </c>
      <c r="C1041" s="53"/>
      <c r="D1041" s="29"/>
      <c r="H1041" s="52" t="s">
        <v>19</v>
      </c>
      <c r="I1041" s="52" t="s">
        <v>19</v>
      </c>
      <c r="J1041" s="52" t="s">
        <v>19</v>
      </c>
      <c r="K1041" s="52" t="str">
        <f t="shared" si="70"/>
        <v>Mpox</v>
      </c>
      <c r="M1041" s="55"/>
    </row>
    <row r="1042">
      <c r="A1042" s="53"/>
      <c r="B1042" s="50" t="str">
        <f>IFERROR(__xludf.DUMMYFUNCTION("""COMPUTED_VALUE"""),"BCCDC Public Health Laboratory                    ")</f>
        <v>BCCDC Public Health Laboratory                    </v>
      </c>
      <c r="C1042" s="53"/>
      <c r="D1042" s="29" t="str">
        <f>IFERROR(__xludf.DUMMYFUNCTION("""COMPUTED_VALUE"""),"")</f>
        <v/>
      </c>
      <c r="H1042" s="52" t="s">
        <v>19</v>
      </c>
      <c r="I1042" s="52" t="s">
        <v>19</v>
      </c>
      <c r="J1042" s="52" t="s">
        <v>19</v>
      </c>
      <c r="K1042" s="52" t="str">
        <f t="shared" si="70"/>
        <v>Mpox</v>
      </c>
      <c r="M1042" s="55"/>
    </row>
    <row r="1043">
      <c r="A1043" s="53"/>
      <c r="B1043" s="50" t="str">
        <f>IFERROR(__xludf.DUMMYFUNCTION("""COMPUTED_VALUE"""),"Canadore College                    ")</f>
        <v>Canadore College                    </v>
      </c>
      <c r="C1043" s="53"/>
      <c r="D1043" s="29" t="str">
        <f>IFERROR(__xludf.DUMMYFUNCTION("""COMPUTED_VALUE"""),"")</f>
        <v/>
      </c>
      <c r="H1043" s="52" t="s">
        <v>19</v>
      </c>
      <c r="I1043" s="52" t="s">
        <v>19</v>
      </c>
      <c r="J1043" s="52" t="s">
        <v>19</v>
      </c>
      <c r="K1043" s="52" t="str">
        <f t="shared" si="70"/>
        <v>Mpox</v>
      </c>
      <c r="M1043" s="55"/>
    </row>
    <row r="1044">
      <c r="A1044" s="53"/>
      <c r="B1044" s="50" t="str">
        <f>IFERROR(__xludf.DUMMYFUNCTION("""COMPUTED_VALUE"""),"The Centre for Applied Genomics (TCAG)                    ")</f>
        <v>The Centre for Applied Genomics (TCAG)                    </v>
      </c>
      <c r="C1044" s="53"/>
      <c r="D1044" s="29" t="str">
        <f>IFERROR(__xludf.DUMMYFUNCTION("""COMPUTED_VALUE"""),"")</f>
        <v/>
      </c>
      <c r="H1044" s="52" t="s">
        <v>19</v>
      </c>
      <c r="I1044" s="52" t="s">
        <v>19</v>
      </c>
      <c r="J1044" s="52" t="s">
        <v>19</v>
      </c>
      <c r="K1044" s="52" t="str">
        <f t="shared" si="70"/>
        <v>Mpox</v>
      </c>
      <c r="M1044" s="55"/>
    </row>
    <row r="1045">
      <c r="A1045" s="53"/>
      <c r="B1045" s="50" t="str">
        <f>IFERROR(__xludf.DUMMYFUNCTION("""COMPUTED_VALUE"""),"Dynacare                    ")</f>
        <v>Dynacare                    </v>
      </c>
      <c r="C1045" s="53"/>
      <c r="D1045" s="29" t="str">
        <f>IFERROR(__xludf.DUMMYFUNCTION("""COMPUTED_VALUE"""),"")</f>
        <v/>
      </c>
      <c r="H1045" s="52" t="s">
        <v>19</v>
      </c>
      <c r="I1045" s="52" t="s">
        <v>19</v>
      </c>
      <c r="J1045" s="52" t="s">
        <v>19</v>
      </c>
      <c r="K1045" s="52" t="str">
        <f t="shared" si="70"/>
        <v>Mpox</v>
      </c>
      <c r="M1045" s="55"/>
    </row>
    <row r="1046">
      <c r="A1046" s="53"/>
      <c r="B1046" s="50" t="str">
        <f>IFERROR(__xludf.DUMMYFUNCTION("""COMPUTED_VALUE"""),"Dynacare (Brampton)                    ")</f>
        <v>Dynacare (Brampton)                    </v>
      </c>
      <c r="C1046" s="53"/>
      <c r="D1046" s="29" t="str">
        <f>IFERROR(__xludf.DUMMYFUNCTION("""COMPUTED_VALUE"""),"")</f>
        <v/>
      </c>
      <c r="H1046" s="52" t="s">
        <v>19</v>
      </c>
      <c r="I1046" s="52" t="s">
        <v>19</v>
      </c>
      <c r="J1046" s="52" t="s">
        <v>19</v>
      </c>
      <c r="K1046" s="52" t="str">
        <f t="shared" si="70"/>
        <v>Mpox</v>
      </c>
      <c r="M1046" s="55"/>
    </row>
    <row r="1047">
      <c r="A1047" s="53"/>
      <c r="B1047" s="50" t="str">
        <f>IFERROR(__xludf.DUMMYFUNCTION("""COMPUTED_VALUE"""),"Dynacare (Manitoba)                    ")</f>
        <v>Dynacare (Manitoba)                    </v>
      </c>
      <c r="C1047" s="53"/>
      <c r="D1047" s="29" t="str">
        <f>IFERROR(__xludf.DUMMYFUNCTION("""COMPUTED_VALUE"""),"")</f>
        <v/>
      </c>
      <c r="H1047" s="52" t="s">
        <v>19</v>
      </c>
      <c r="I1047" s="52" t="s">
        <v>19</v>
      </c>
      <c r="J1047" s="52" t="s">
        <v>19</v>
      </c>
      <c r="K1047" s="52" t="str">
        <f t="shared" si="70"/>
        <v>Mpox</v>
      </c>
      <c r="M1047" s="55"/>
    </row>
    <row r="1048">
      <c r="A1048" s="53"/>
      <c r="B1048" s="50" t="str">
        <f>IFERROR(__xludf.DUMMYFUNCTION("""COMPUTED_VALUE"""),"The Hospital for Sick Children (SickKids)                    ")</f>
        <v>The Hospital for Sick Children (SickKids)                    </v>
      </c>
      <c r="C1048" s="53"/>
      <c r="D1048" s="29" t="str">
        <f>IFERROR(__xludf.DUMMYFUNCTION("""COMPUTED_VALUE"""),"")</f>
        <v/>
      </c>
      <c r="H1048" s="52" t="s">
        <v>19</v>
      </c>
      <c r="I1048" s="52" t="s">
        <v>19</v>
      </c>
      <c r="J1048" s="52" t="s">
        <v>19</v>
      </c>
      <c r="K1048" s="52" t="str">
        <f t="shared" si="70"/>
        <v>Mpox</v>
      </c>
      <c r="M1048" s="55"/>
    </row>
    <row r="1049">
      <c r="A1049" s="53"/>
      <c r="B1049" s="50" t="str">
        <f>IFERROR(__xludf.DUMMYFUNCTION("""COMPUTED_VALUE"""),"Laboratoire de santé publique du Québec (LSPQ)                    ")</f>
        <v>Laboratoire de santé publique du Québec (LSPQ)                    </v>
      </c>
      <c r="C1049" s="53"/>
      <c r="D1049" s="29" t="str">
        <f>IFERROR(__xludf.DUMMYFUNCTION("""COMPUTED_VALUE"""),"")</f>
        <v/>
      </c>
      <c r="H1049" s="52" t="s">
        <v>19</v>
      </c>
      <c r="I1049" s="52" t="s">
        <v>19</v>
      </c>
      <c r="J1049" s="52" t="s">
        <v>19</v>
      </c>
      <c r="K1049" s="52" t="str">
        <f t="shared" si="70"/>
        <v>Mpox</v>
      </c>
      <c r="M1049" s="55"/>
    </row>
    <row r="1050">
      <c r="A1050" s="53"/>
      <c r="B1050" s="50" t="str">
        <f>IFERROR(__xludf.DUMMYFUNCTION("""COMPUTED_VALUE"""),"Manitoba Cadham Provincial Laboratory                    ")</f>
        <v>Manitoba Cadham Provincial Laboratory                    </v>
      </c>
      <c r="C1050" s="53"/>
      <c r="D1050" s="29" t="str">
        <f>IFERROR(__xludf.DUMMYFUNCTION("""COMPUTED_VALUE"""),"")</f>
        <v/>
      </c>
      <c r="H1050" s="52" t="s">
        <v>19</v>
      </c>
      <c r="I1050" s="52" t="s">
        <v>19</v>
      </c>
      <c r="J1050" s="52" t="s">
        <v>19</v>
      </c>
      <c r="K1050" s="52" t="str">
        <f t="shared" si="70"/>
        <v>Mpox</v>
      </c>
      <c r="M1050" s="55"/>
    </row>
    <row r="1051">
      <c r="A1051" s="53"/>
      <c r="B1051" s="50" t="str">
        <f>IFERROR(__xludf.DUMMYFUNCTION("""COMPUTED_VALUE"""),"McGill University                    ")</f>
        <v>McGill University                    </v>
      </c>
      <c r="C1051" s="53"/>
      <c r="D1051" s="29" t="str">
        <f>IFERROR(__xludf.DUMMYFUNCTION("""COMPUTED_VALUE"""),"McGill University is an English-language public research university located in Montreal, Quebec, Canada.")</f>
        <v>McGill University is an English-language public research university located in Montreal, Quebec, Canada.</v>
      </c>
      <c r="H1051" s="52" t="s">
        <v>19</v>
      </c>
      <c r="I1051" s="52" t="s">
        <v>19</v>
      </c>
      <c r="J1051" s="52" t="s">
        <v>19</v>
      </c>
      <c r="K1051" s="52" t="str">
        <f t="shared" si="70"/>
        <v>Mpox</v>
      </c>
      <c r="M1051" s="55"/>
    </row>
    <row r="1052">
      <c r="A1052" s="53"/>
      <c r="B1052" s="50" t="str">
        <f>IFERROR(__xludf.DUMMYFUNCTION("""COMPUTED_VALUE"""),"McMaster University                    ")</f>
        <v>McMaster University                    </v>
      </c>
      <c r="C1052" s="53"/>
      <c r="D1052" s="29" t="str">
        <f>IFERROR(__xludf.DUMMYFUNCTION("""COMPUTED_VALUE"""),"")</f>
        <v/>
      </c>
      <c r="H1052" s="52" t="s">
        <v>19</v>
      </c>
      <c r="I1052" s="52" t="s">
        <v>19</v>
      </c>
      <c r="J1052" s="52" t="s">
        <v>19</v>
      </c>
      <c r="K1052" s="52" t="str">
        <f t="shared" si="70"/>
        <v>Mpox</v>
      </c>
      <c r="M1052" s="55"/>
    </row>
    <row r="1053">
      <c r="A1053" s="53"/>
      <c r="B1053" s="50" t="str">
        <f>IFERROR(__xludf.DUMMYFUNCTION("""COMPUTED_VALUE"""),"National Microbiology Laboratory (NML)                    ")</f>
        <v>National Microbiology Laboratory (NML)                    </v>
      </c>
      <c r="C1053" s="53"/>
      <c r="D1053" s="29" t="str">
        <f>IFERROR(__xludf.DUMMYFUNCTION("""COMPUTED_VALUE"""),"")</f>
        <v/>
      </c>
      <c r="H1053" s="52" t="s">
        <v>19</v>
      </c>
      <c r="I1053" s="52" t="s">
        <v>19</v>
      </c>
      <c r="J1053" s="52" t="s">
        <v>19</v>
      </c>
      <c r="K1053" s="52" t="str">
        <f t="shared" si="70"/>
        <v>Mpox</v>
      </c>
      <c r="M1053" s="55"/>
    </row>
    <row r="1054">
      <c r="A1054" s="53"/>
      <c r="B1054" s="50" t="str">
        <f>IFERROR(__xludf.DUMMYFUNCTION("""COMPUTED_VALUE"""),"New Brunswick - Vitalité Health Network                    ")</f>
        <v>New Brunswick - Vitalité Health Network                    </v>
      </c>
      <c r="C1054" s="53"/>
      <c r="D1054" s="29" t="str">
        <f>IFERROR(__xludf.DUMMYFUNCTION("""COMPUTED_VALUE"""),"")</f>
        <v/>
      </c>
      <c r="H1054" s="52" t="s">
        <v>19</v>
      </c>
      <c r="I1054" s="52" t="s">
        <v>19</v>
      </c>
      <c r="J1054" s="52" t="s">
        <v>19</v>
      </c>
      <c r="K1054" s="52" t="str">
        <f t="shared" si="70"/>
        <v>Mpox</v>
      </c>
      <c r="M1054" s="55"/>
    </row>
    <row r="1055">
      <c r="A1055" s="53"/>
      <c r="B1055" s="50" t="str">
        <f>IFERROR(__xludf.DUMMYFUNCTION("""COMPUTED_VALUE"""),"Newfoundland and Labrador - Eastern Health                    ")</f>
        <v>Newfoundland and Labrador - Eastern Health                    </v>
      </c>
      <c r="C1055" s="53"/>
      <c r="D1055" s="29" t="str">
        <f>IFERROR(__xludf.DUMMYFUNCTION("""COMPUTED_VALUE"""),"")</f>
        <v/>
      </c>
      <c r="H1055" s="54" t="s">
        <v>19</v>
      </c>
      <c r="I1055" s="54" t="s">
        <v>19</v>
      </c>
      <c r="J1055" s="54" t="s">
        <v>19</v>
      </c>
      <c r="K1055" s="52" t="str">
        <f t="shared" si="70"/>
        <v>Mpox</v>
      </c>
    </row>
    <row r="1056">
      <c r="A1056" s="53"/>
      <c r="B1056" s="50" t="str">
        <f>IFERROR(__xludf.DUMMYFUNCTION("""COMPUTED_VALUE"""),"Nova Scotia Health Authority                    ")</f>
        <v>Nova Scotia Health Authority                    </v>
      </c>
      <c r="C1056" s="53"/>
      <c r="D1056" s="29" t="str">
        <f>IFERROR(__xludf.DUMMYFUNCTION("""COMPUTED_VALUE"""),"")</f>
        <v/>
      </c>
      <c r="H1056" s="52" t="s">
        <v>19</v>
      </c>
      <c r="I1056" s="52" t="s">
        <v>19</v>
      </c>
      <c r="J1056" s="52" t="s">
        <v>19</v>
      </c>
      <c r="K1056" s="52" t="str">
        <f t="shared" si="70"/>
        <v>Mpox</v>
      </c>
      <c r="M1056" s="56"/>
    </row>
    <row r="1057">
      <c r="A1057" s="53"/>
      <c r="B1057" s="50" t="str">
        <f>IFERROR(__xludf.DUMMYFUNCTION("""COMPUTED_VALUE"""),"Ontario Institute for Cancer Research (OICR)                    ")</f>
        <v>Ontario Institute for Cancer Research (OICR)                    </v>
      </c>
      <c r="C1057" s="53"/>
      <c r="D1057" s="29" t="str">
        <f>IFERROR(__xludf.DUMMYFUNCTION("""COMPUTED_VALUE"""),"")</f>
        <v/>
      </c>
      <c r="H1057" s="52" t="s">
        <v>19</v>
      </c>
      <c r="I1057" s="52" t="s">
        <v>19</v>
      </c>
      <c r="J1057" s="52" t="s">
        <v>19</v>
      </c>
      <c r="K1057" s="52" t="str">
        <f t="shared" si="70"/>
        <v>Mpox</v>
      </c>
      <c r="M1057" s="55"/>
    </row>
    <row r="1058">
      <c r="A1058" s="53"/>
      <c r="B1058" s="50" t="str">
        <f>IFERROR(__xludf.DUMMYFUNCTION("""COMPUTED_VALUE"""),"Prince Edward Island - Health PEI                    ")</f>
        <v>Prince Edward Island - Health PEI                    </v>
      </c>
      <c r="C1058" s="53"/>
      <c r="D1058" s="29" t="str">
        <f>IFERROR(__xludf.DUMMYFUNCTION("""COMPUTED_VALUE"""),"")</f>
        <v/>
      </c>
      <c r="H1058" s="52" t="s">
        <v>19</v>
      </c>
      <c r="I1058" s="52" t="s">
        <v>19</v>
      </c>
      <c r="J1058" s="52" t="s">
        <v>19</v>
      </c>
      <c r="K1058" s="52" t="str">
        <f t="shared" si="70"/>
        <v>Mpox</v>
      </c>
      <c r="M1058" s="55"/>
    </row>
    <row r="1059">
      <c r="A1059" s="53"/>
      <c r="B1059" s="50" t="str">
        <f>IFERROR(__xludf.DUMMYFUNCTION("""COMPUTED_VALUE"""),"Public Health Ontario (PHO)                    ")</f>
        <v>Public Health Ontario (PHO)                    </v>
      </c>
      <c r="C1059" s="53"/>
      <c r="D1059" s="29" t="str">
        <f>IFERROR(__xludf.DUMMYFUNCTION("""COMPUTED_VALUE"""),"")</f>
        <v/>
      </c>
      <c r="H1059" s="52" t="s">
        <v>19</v>
      </c>
      <c r="I1059" s="52" t="s">
        <v>19</v>
      </c>
      <c r="J1059" s="52" t="s">
        <v>19</v>
      </c>
      <c r="K1059" s="52" t="str">
        <f t="shared" si="70"/>
        <v>Mpox</v>
      </c>
      <c r="M1059" s="55"/>
    </row>
    <row r="1060">
      <c r="A1060" s="53"/>
      <c r="B1060" s="50" t="str">
        <f>IFERROR(__xludf.DUMMYFUNCTION("""COMPUTED_VALUE"""),"Queen's University / Kingston Health Sciences Centre                    ")</f>
        <v>Queen's University / Kingston Health Sciences Centre                    </v>
      </c>
      <c r="C1060" s="53"/>
      <c r="D1060" s="29" t="str">
        <f>IFERROR(__xludf.DUMMYFUNCTION("""COMPUTED_VALUE"""),"")</f>
        <v/>
      </c>
      <c r="H1060" s="52" t="s">
        <v>19</v>
      </c>
      <c r="I1060" s="52" t="s">
        <v>19</v>
      </c>
      <c r="J1060" s="52" t="s">
        <v>19</v>
      </c>
      <c r="K1060" s="52" t="str">
        <f t="shared" si="70"/>
        <v>Mpox</v>
      </c>
      <c r="M1060" s="55"/>
    </row>
    <row r="1061">
      <c r="A1061" s="53"/>
      <c r="B1061" s="50" t="str">
        <f>IFERROR(__xludf.DUMMYFUNCTION("""COMPUTED_VALUE"""),"Saskatchewan - Roy Romanow Provincial Laboratory (RRPL)                    ")</f>
        <v>Saskatchewan - Roy Romanow Provincial Laboratory (RRPL)                    </v>
      </c>
      <c r="C1061" s="53"/>
      <c r="D1061" s="29" t="str">
        <f>IFERROR(__xludf.DUMMYFUNCTION("""COMPUTED_VALUE"""),"")</f>
        <v/>
      </c>
      <c r="H1061" s="52" t="s">
        <v>19</v>
      </c>
      <c r="I1061" s="52" t="s">
        <v>19</v>
      </c>
      <c r="J1061" s="52" t="s">
        <v>19</v>
      </c>
      <c r="K1061" s="52" t="str">
        <f t="shared" si="70"/>
        <v>Mpox</v>
      </c>
      <c r="M1061" s="55"/>
    </row>
    <row r="1062">
      <c r="A1062" s="53"/>
      <c r="B1062" s="50" t="str">
        <f>IFERROR(__xludf.DUMMYFUNCTION("""COMPUTED_VALUE"""),"Sunnybrook Health Sciences Centre                    ")</f>
        <v>Sunnybrook Health Sciences Centre                    </v>
      </c>
      <c r="C1062" s="53"/>
      <c r="D1062" s="29" t="str">
        <f>IFERROR(__xludf.DUMMYFUNCTION("""COMPUTED_VALUE"""),"")</f>
        <v/>
      </c>
      <c r="H1062" s="52"/>
      <c r="I1062" s="52"/>
      <c r="J1062" s="52"/>
      <c r="K1062" s="53" t="s">
        <v>29</v>
      </c>
      <c r="L1062" s="53" t="str">
        <f>LEFT(A1062, LEN(A1062) - 5)
</f>
        <v>#VALUE!</v>
      </c>
      <c r="M1062" s="60" t="s">
        <v>29</v>
      </c>
    </row>
    <row r="1063">
      <c r="A1063" s="53"/>
      <c r="B1063" s="50" t="str">
        <f>IFERROR(__xludf.DUMMYFUNCTION("""COMPUTED_VALUE"""),"Thunder Bay Regional Health Sciences Centre                    ")</f>
        <v>Thunder Bay Regional Health Sciences Centre                    </v>
      </c>
      <c r="C1063" s="53"/>
      <c r="D1063" s="29" t="str">
        <f>IFERROR(__xludf.DUMMYFUNCTION("""COMPUTED_VALUE"""),"")</f>
        <v/>
      </c>
      <c r="H1063" s="52" t="s">
        <v>19</v>
      </c>
      <c r="I1063" s="52" t="s">
        <v>19</v>
      </c>
      <c r="J1063" s="52" t="s">
        <v>19</v>
      </c>
      <c r="K1063" s="52" t="str">
        <f t="shared" ref="K1063:K1095" si="71">K1062</f>
        <v>Mpox</v>
      </c>
      <c r="M1063" s="55"/>
    </row>
    <row r="1064">
      <c r="A1064" s="53" t="str">
        <f>IFERROR(__xludf.DUMMYFUNCTION("""COMPUTED_VALUE"""),"sample collected by menu")</f>
        <v>sample collected by menu</v>
      </c>
      <c r="B1064" s="50" t="str">
        <f>IFERROR(__xludf.DUMMYFUNCTION("""COMPUTED_VALUE"""),"                    ")</f>
        <v>                    </v>
      </c>
      <c r="C1064" s="53"/>
      <c r="D1064" s="29" t="str">
        <f>IFERROR(__xludf.DUMMYFUNCTION("""COMPUTED_VALUE"""),"")</f>
        <v/>
      </c>
      <c r="E1064" s="53"/>
      <c r="F1064" s="53"/>
      <c r="G1064" s="53"/>
      <c r="H1064" s="52" t="s">
        <v>19</v>
      </c>
      <c r="I1064" s="52" t="s">
        <v>19</v>
      </c>
      <c r="J1064" s="52" t="s">
        <v>19</v>
      </c>
      <c r="K1064" s="52" t="str">
        <f t="shared" si="71"/>
        <v>Mpox</v>
      </c>
      <c r="M1064" s="55"/>
    </row>
    <row r="1065">
      <c r="A1065" s="53"/>
      <c r="B1065" s="50" t="str">
        <f>IFERROR(__xludf.DUMMYFUNCTION("""COMPUTED_VALUE"""),"Alberta Precision Labs (APL)                    ")</f>
        <v>Alberta Precision Labs (APL)                    </v>
      </c>
      <c r="C1065" s="53"/>
      <c r="D1065" s="29" t="str">
        <f>IFERROR(__xludf.DUMMYFUNCTION("""COMPUTED_VALUE"""),"")</f>
        <v/>
      </c>
      <c r="H1065" s="52" t="s">
        <v>19</v>
      </c>
      <c r="I1065" s="52" t="s">
        <v>19</v>
      </c>
      <c r="J1065" s="52" t="s">
        <v>19</v>
      </c>
      <c r="K1065" s="52" t="str">
        <f t="shared" si="71"/>
        <v>Mpox</v>
      </c>
      <c r="M1065" s="55"/>
    </row>
    <row r="1066">
      <c r="A1066" s="53"/>
      <c r="B1066" s="50" t="str">
        <f>IFERROR(__xludf.DUMMYFUNCTION("""COMPUTED_VALUE"""),"     Alberta ProvLab North (APLN)               ")</f>
        <v>     Alberta ProvLab North (APLN)               </v>
      </c>
      <c r="C1066" s="53"/>
      <c r="D1066" s="29"/>
      <c r="H1066" s="52" t="s">
        <v>19</v>
      </c>
      <c r="I1066" s="52" t="s">
        <v>19</v>
      </c>
      <c r="J1066" s="52" t="s">
        <v>19</v>
      </c>
      <c r="K1066" s="52" t="str">
        <f t="shared" si="71"/>
        <v>Mpox</v>
      </c>
      <c r="M1066" s="55"/>
    </row>
    <row r="1067">
      <c r="A1067" s="53"/>
      <c r="B1067" s="50" t="str">
        <f>IFERROR(__xludf.DUMMYFUNCTION("""COMPUTED_VALUE"""),"     Alberta ProvLab South (APLS)               ")</f>
        <v>     Alberta ProvLab South (APLS)               </v>
      </c>
      <c r="C1067" s="53"/>
      <c r="D1067" s="29"/>
      <c r="H1067" s="52" t="s">
        <v>19</v>
      </c>
      <c r="I1067" s="52" t="s">
        <v>19</v>
      </c>
      <c r="J1067" s="52" t="s">
        <v>19</v>
      </c>
      <c r="K1067" s="52" t="str">
        <f t="shared" si="71"/>
        <v>Mpox</v>
      </c>
      <c r="M1067" s="55"/>
    </row>
    <row r="1068">
      <c r="A1068" s="53"/>
      <c r="B1068" s="50" t="str">
        <f>IFERROR(__xludf.DUMMYFUNCTION("""COMPUTED_VALUE"""),"BCCDC Public Health Laboratory                    ")</f>
        <v>BCCDC Public Health Laboratory                    </v>
      </c>
      <c r="C1068" s="53"/>
      <c r="D1068" s="29" t="str">
        <f>IFERROR(__xludf.DUMMYFUNCTION("""COMPUTED_VALUE"""),"")</f>
        <v/>
      </c>
      <c r="H1068" s="52" t="s">
        <v>19</v>
      </c>
      <c r="I1068" s="52" t="s">
        <v>19</v>
      </c>
      <c r="J1068" s="52" t="s">
        <v>19</v>
      </c>
      <c r="K1068" s="52" t="str">
        <f t="shared" si="71"/>
        <v>Mpox</v>
      </c>
      <c r="M1068" s="55"/>
    </row>
    <row r="1069">
      <c r="A1069" s="53"/>
      <c r="B1069" s="50" t="str">
        <f>IFERROR(__xludf.DUMMYFUNCTION("""COMPUTED_VALUE"""),"Dynacare                    ")</f>
        <v>Dynacare                    </v>
      </c>
      <c r="C1069" s="53"/>
      <c r="D1069" s="29" t="str">
        <f>IFERROR(__xludf.DUMMYFUNCTION("""COMPUTED_VALUE"""),"")</f>
        <v/>
      </c>
      <c r="H1069" s="52" t="s">
        <v>19</v>
      </c>
      <c r="I1069" s="52" t="s">
        <v>19</v>
      </c>
      <c r="J1069" s="52" t="s">
        <v>19</v>
      </c>
      <c r="K1069" s="52" t="str">
        <f t="shared" si="71"/>
        <v>Mpox</v>
      </c>
      <c r="M1069" s="55"/>
    </row>
    <row r="1070">
      <c r="A1070" s="53"/>
      <c r="B1070" s="50" t="str">
        <f>IFERROR(__xludf.DUMMYFUNCTION("""COMPUTED_VALUE"""),"Dynacare (Manitoba)                    ")</f>
        <v>Dynacare (Manitoba)                    </v>
      </c>
      <c r="C1070" s="53"/>
      <c r="D1070" s="29" t="str">
        <f>IFERROR(__xludf.DUMMYFUNCTION("""COMPUTED_VALUE"""),"")</f>
        <v/>
      </c>
      <c r="H1070" s="52" t="s">
        <v>19</v>
      </c>
      <c r="I1070" s="52" t="s">
        <v>19</v>
      </c>
      <c r="J1070" s="52" t="s">
        <v>19</v>
      </c>
      <c r="K1070" s="52" t="str">
        <f t="shared" si="71"/>
        <v>Mpox</v>
      </c>
      <c r="M1070" s="55"/>
    </row>
    <row r="1071">
      <c r="A1071" s="53"/>
      <c r="B1071" s="50" t="str">
        <f>IFERROR(__xludf.DUMMYFUNCTION("""COMPUTED_VALUE"""),"Dynacare (Brampton)                    ")</f>
        <v>Dynacare (Brampton)                    </v>
      </c>
      <c r="C1071" s="53"/>
      <c r="D1071" s="29" t="str">
        <f>IFERROR(__xludf.DUMMYFUNCTION("""COMPUTED_VALUE"""),"")</f>
        <v/>
      </c>
      <c r="H1071" s="52" t="s">
        <v>19</v>
      </c>
      <c r="I1071" s="52" t="s">
        <v>19</v>
      </c>
      <c r="J1071" s="52" t="s">
        <v>19</v>
      </c>
      <c r="K1071" s="52" t="str">
        <f t="shared" si="71"/>
        <v>Mpox</v>
      </c>
      <c r="M1071" s="55"/>
    </row>
    <row r="1072">
      <c r="A1072" s="53"/>
      <c r="B1072" s="50" t="str">
        <f>IFERROR(__xludf.DUMMYFUNCTION("""COMPUTED_VALUE"""),"Eastern Ontario Regional Laboratory Association                    ")</f>
        <v>Eastern Ontario Regional Laboratory Association                    </v>
      </c>
      <c r="C1072" s="53"/>
      <c r="D1072" s="29" t="str">
        <f>IFERROR(__xludf.DUMMYFUNCTION("""COMPUTED_VALUE"""),"")</f>
        <v/>
      </c>
      <c r="H1072" s="52" t="s">
        <v>19</v>
      </c>
      <c r="I1072" s="52" t="s">
        <v>19</v>
      </c>
      <c r="J1072" s="52" t="s">
        <v>19</v>
      </c>
      <c r="K1072" s="52" t="str">
        <f t="shared" si="71"/>
        <v>Mpox</v>
      </c>
      <c r="M1072" s="55"/>
    </row>
    <row r="1073">
      <c r="A1073" s="53"/>
      <c r="B1073" s="50" t="str">
        <f>IFERROR(__xludf.DUMMYFUNCTION("""COMPUTED_VALUE"""),"Hamilton Health Sciences                    ")</f>
        <v>Hamilton Health Sciences                    </v>
      </c>
      <c r="C1073" s="53"/>
      <c r="D1073" s="29" t="str">
        <f>IFERROR(__xludf.DUMMYFUNCTION("""COMPUTED_VALUE"""),"")</f>
        <v/>
      </c>
      <c r="H1073" s="52" t="s">
        <v>19</v>
      </c>
      <c r="I1073" s="52" t="s">
        <v>19</v>
      </c>
      <c r="J1073" s="52" t="s">
        <v>19</v>
      </c>
      <c r="K1073" s="52" t="str">
        <f t="shared" si="71"/>
        <v>Mpox</v>
      </c>
      <c r="M1073" s="55"/>
    </row>
    <row r="1074">
      <c r="A1074" s="53"/>
      <c r="B1074" s="50" t="str">
        <f>IFERROR(__xludf.DUMMYFUNCTION("""COMPUTED_VALUE"""),"The Hospital for Sick Children (SickKids)                    ")</f>
        <v>The Hospital for Sick Children (SickKids)                    </v>
      </c>
      <c r="C1074" s="53"/>
      <c r="D1074" s="29" t="str">
        <f>IFERROR(__xludf.DUMMYFUNCTION("""COMPUTED_VALUE"""),"")</f>
        <v/>
      </c>
      <c r="H1074" s="52" t="s">
        <v>19</v>
      </c>
      <c r="I1074" s="52" t="s">
        <v>19</v>
      </c>
      <c r="J1074" s="52" t="s">
        <v>19</v>
      </c>
      <c r="K1074" s="52" t="str">
        <f t="shared" si="71"/>
        <v>Mpox</v>
      </c>
      <c r="M1074" s="55"/>
    </row>
    <row r="1075">
      <c r="A1075" s="53"/>
      <c r="B1075" s="50" t="str">
        <f>IFERROR(__xludf.DUMMYFUNCTION("""COMPUTED_VALUE"""),"Laboratoire de santé publique du Québec (LSPQ)                    ")</f>
        <v>Laboratoire de santé publique du Québec (LSPQ)                    </v>
      </c>
      <c r="C1075" s="53"/>
      <c r="D1075" s="29" t="str">
        <f>IFERROR(__xludf.DUMMYFUNCTION("""COMPUTED_VALUE"""),"")</f>
        <v/>
      </c>
      <c r="H1075" s="52" t="s">
        <v>19</v>
      </c>
      <c r="I1075" s="52" t="s">
        <v>19</v>
      </c>
      <c r="J1075" s="52" t="s">
        <v>19</v>
      </c>
      <c r="K1075" s="52" t="str">
        <f t="shared" si="71"/>
        <v>Mpox</v>
      </c>
      <c r="M1075" s="55"/>
    </row>
    <row r="1076">
      <c r="A1076" s="53"/>
      <c r="B1076" s="50" t="str">
        <f>IFERROR(__xludf.DUMMYFUNCTION("""COMPUTED_VALUE"""),"Lake of the Woods District Hospital - Ontario                    ")</f>
        <v>Lake of the Woods District Hospital - Ontario                    </v>
      </c>
      <c r="C1076" s="53"/>
      <c r="D1076" s="29" t="str">
        <f>IFERROR(__xludf.DUMMYFUNCTION("""COMPUTED_VALUE"""),"")</f>
        <v/>
      </c>
      <c r="H1076" s="52" t="s">
        <v>19</v>
      </c>
      <c r="I1076" s="52" t="s">
        <v>19</v>
      </c>
      <c r="J1076" s="52" t="s">
        <v>19</v>
      </c>
      <c r="K1076" s="52" t="str">
        <f t="shared" si="71"/>
        <v>Mpox</v>
      </c>
      <c r="M1076" s="55"/>
    </row>
    <row r="1077">
      <c r="A1077" s="53"/>
      <c r="B1077" s="50" t="str">
        <f>IFERROR(__xludf.DUMMYFUNCTION("""COMPUTED_VALUE"""),"LifeLabs                    ")</f>
        <v>LifeLabs                    </v>
      </c>
      <c r="C1077" s="53"/>
      <c r="D1077" s="29" t="str">
        <f>IFERROR(__xludf.DUMMYFUNCTION("""COMPUTED_VALUE"""),"")</f>
        <v/>
      </c>
      <c r="H1077" s="52" t="s">
        <v>19</v>
      </c>
      <c r="I1077" s="52" t="s">
        <v>19</v>
      </c>
      <c r="J1077" s="52" t="s">
        <v>19</v>
      </c>
      <c r="K1077" s="52" t="str">
        <f t="shared" si="71"/>
        <v>Mpox</v>
      </c>
      <c r="M1077" s="55"/>
    </row>
    <row r="1078">
      <c r="A1078" s="53"/>
      <c r="B1078" s="50" t="str">
        <f>IFERROR(__xludf.DUMMYFUNCTION("""COMPUTED_VALUE"""),"LifeLabs (Ontario)                    ")</f>
        <v>LifeLabs (Ontario)                    </v>
      </c>
      <c r="C1078" s="53"/>
      <c r="D1078" s="29" t="str">
        <f>IFERROR(__xludf.DUMMYFUNCTION("""COMPUTED_VALUE"""),"")</f>
        <v/>
      </c>
      <c r="H1078" s="52" t="s">
        <v>19</v>
      </c>
      <c r="I1078" s="52" t="s">
        <v>19</v>
      </c>
      <c r="J1078" s="52" t="s">
        <v>19</v>
      </c>
      <c r="K1078" s="52" t="str">
        <f t="shared" si="71"/>
        <v>Mpox</v>
      </c>
      <c r="M1078" s="55"/>
    </row>
    <row r="1079">
      <c r="A1079" s="53"/>
      <c r="B1079" s="50" t="str">
        <f>IFERROR(__xludf.DUMMYFUNCTION("""COMPUTED_VALUE"""),"Manitoba Cadham Provincial Laboratory                    ")</f>
        <v>Manitoba Cadham Provincial Laboratory                    </v>
      </c>
      <c r="C1079" s="53"/>
      <c r="D1079" s="29" t="str">
        <f>IFERROR(__xludf.DUMMYFUNCTION("""COMPUTED_VALUE"""),"")</f>
        <v/>
      </c>
      <c r="H1079" s="52" t="s">
        <v>19</v>
      </c>
      <c r="I1079" s="52" t="s">
        <v>19</v>
      </c>
      <c r="J1079" s="52" t="s">
        <v>19</v>
      </c>
      <c r="K1079" s="52" t="str">
        <f t="shared" si="71"/>
        <v>Mpox</v>
      </c>
      <c r="M1079" s="55"/>
    </row>
    <row r="1080">
      <c r="A1080" s="53"/>
      <c r="B1080" s="50" t="str">
        <f>IFERROR(__xludf.DUMMYFUNCTION("""COMPUTED_VALUE"""),"McMaster University                    ")</f>
        <v>McMaster University                    </v>
      </c>
      <c r="C1080" s="53"/>
      <c r="D1080" s="29" t="str">
        <f>IFERROR(__xludf.DUMMYFUNCTION("""COMPUTED_VALUE"""),"")</f>
        <v/>
      </c>
      <c r="H1080" s="52" t="s">
        <v>19</v>
      </c>
      <c r="I1080" s="52" t="s">
        <v>19</v>
      </c>
      <c r="J1080" s="52" t="s">
        <v>19</v>
      </c>
      <c r="K1080" s="52" t="str">
        <f t="shared" si="71"/>
        <v>Mpox</v>
      </c>
      <c r="M1080" s="55"/>
    </row>
    <row r="1081">
      <c r="A1081" s="53"/>
      <c r="B1081" s="50" t="str">
        <f>IFERROR(__xludf.DUMMYFUNCTION("""COMPUTED_VALUE"""),"Mount Sinai Hospital                    ")</f>
        <v>Mount Sinai Hospital                    </v>
      </c>
      <c r="C1081" s="53"/>
      <c r="D1081" s="29" t="str">
        <f>IFERROR(__xludf.DUMMYFUNCTION("""COMPUTED_VALUE"""),"")</f>
        <v/>
      </c>
      <c r="H1081" s="52" t="s">
        <v>19</v>
      </c>
      <c r="I1081" s="52" t="s">
        <v>19</v>
      </c>
      <c r="J1081" s="52" t="s">
        <v>19</v>
      </c>
      <c r="K1081" s="52" t="str">
        <f t="shared" si="71"/>
        <v>Mpox</v>
      </c>
      <c r="M1081" s="55"/>
    </row>
    <row r="1082">
      <c r="A1082" s="53"/>
      <c r="B1082" s="50" t="str">
        <f>IFERROR(__xludf.DUMMYFUNCTION("""COMPUTED_VALUE"""),"National Microbiology Laboratory (NML)                    ")</f>
        <v>National Microbiology Laboratory (NML)                    </v>
      </c>
      <c r="C1082" s="53"/>
      <c r="D1082" s="29" t="str">
        <f>IFERROR(__xludf.DUMMYFUNCTION("""COMPUTED_VALUE"""),"")</f>
        <v/>
      </c>
      <c r="H1082" s="52" t="s">
        <v>19</v>
      </c>
      <c r="I1082" s="52" t="s">
        <v>19</v>
      </c>
      <c r="J1082" s="52" t="s">
        <v>19</v>
      </c>
      <c r="K1082" s="52" t="str">
        <f t="shared" si="71"/>
        <v>Mpox</v>
      </c>
      <c r="M1082" s="55"/>
    </row>
    <row r="1083">
      <c r="A1083" s="53"/>
      <c r="B1083" s="50" t="str">
        <f>IFERROR(__xludf.DUMMYFUNCTION("""COMPUTED_VALUE"""),"New Brunswick - Vitalité Health Network                    ")</f>
        <v>New Brunswick - Vitalité Health Network                    </v>
      </c>
      <c r="C1083" s="53"/>
      <c r="D1083" s="29" t="str">
        <f>IFERROR(__xludf.DUMMYFUNCTION("""COMPUTED_VALUE"""),"")</f>
        <v/>
      </c>
      <c r="H1083" s="52" t="s">
        <v>19</v>
      </c>
      <c r="I1083" s="52" t="s">
        <v>19</v>
      </c>
      <c r="J1083" s="52" t="s">
        <v>19</v>
      </c>
      <c r="K1083" s="52" t="str">
        <f t="shared" si="71"/>
        <v>Mpox</v>
      </c>
      <c r="M1083" s="55"/>
    </row>
    <row r="1084">
      <c r="A1084" s="53"/>
      <c r="B1084" s="50" t="str">
        <f>IFERROR(__xludf.DUMMYFUNCTION("""COMPUTED_VALUE"""),"Newfoundland and Labrador - Eastern Health                    ")</f>
        <v>Newfoundland and Labrador - Eastern Health                    </v>
      </c>
      <c r="C1084" s="53"/>
      <c r="D1084" s="29" t="str">
        <f>IFERROR(__xludf.DUMMYFUNCTION("""COMPUTED_VALUE"""),"")</f>
        <v/>
      </c>
      <c r="H1084" s="52" t="s">
        <v>19</v>
      </c>
      <c r="I1084" s="52" t="s">
        <v>19</v>
      </c>
      <c r="J1084" s="52" t="s">
        <v>19</v>
      </c>
      <c r="K1084" s="52" t="str">
        <f t="shared" si="71"/>
        <v>Mpox</v>
      </c>
      <c r="M1084" s="55"/>
    </row>
    <row r="1085">
      <c r="A1085" s="53"/>
      <c r="B1085" s="50" t="str">
        <f>IFERROR(__xludf.DUMMYFUNCTION("""COMPUTED_VALUE"""),"Nova Scotia Health Authority                    ")</f>
        <v>Nova Scotia Health Authority                    </v>
      </c>
      <c r="C1085" s="53"/>
      <c r="D1085" s="29" t="str">
        <f>IFERROR(__xludf.DUMMYFUNCTION("""COMPUTED_VALUE"""),"")</f>
        <v/>
      </c>
      <c r="H1085" s="52" t="s">
        <v>19</v>
      </c>
      <c r="I1085" s="52" t="s">
        <v>19</v>
      </c>
      <c r="J1085" s="52" t="s">
        <v>19</v>
      </c>
      <c r="K1085" s="52" t="str">
        <f t="shared" si="71"/>
        <v>Mpox</v>
      </c>
      <c r="M1085" s="55"/>
    </row>
    <row r="1086">
      <c r="A1086" s="53"/>
      <c r="B1086" s="50" t="str">
        <f>IFERROR(__xludf.DUMMYFUNCTION("""COMPUTED_VALUE"""),"Nunavut                    ")</f>
        <v>Nunavut                    </v>
      </c>
      <c r="C1086" s="53"/>
      <c r="D1086" s="29" t="str">
        <f>IFERROR(__xludf.DUMMYFUNCTION("""COMPUTED_VALUE"""),"")</f>
        <v/>
      </c>
      <c r="H1086" s="52" t="s">
        <v>19</v>
      </c>
      <c r="I1086" s="52" t="s">
        <v>19</v>
      </c>
      <c r="J1086" s="52" t="s">
        <v>19</v>
      </c>
      <c r="K1086" s="52" t="str">
        <f t="shared" si="71"/>
        <v>Mpox</v>
      </c>
      <c r="M1086" s="55"/>
    </row>
    <row r="1087">
      <c r="A1087" s="53"/>
      <c r="B1087" s="50" t="str">
        <f>IFERROR(__xludf.DUMMYFUNCTION("""COMPUTED_VALUE"""),"Ontario Institute for Cancer Research (OICR)                    ")</f>
        <v>Ontario Institute for Cancer Research (OICR)                    </v>
      </c>
      <c r="C1087" s="53"/>
      <c r="D1087" s="29" t="str">
        <f>IFERROR(__xludf.DUMMYFUNCTION("""COMPUTED_VALUE"""),"")</f>
        <v/>
      </c>
      <c r="H1087" s="52" t="s">
        <v>19</v>
      </c>
      <c r="I1087" s="52" t="s">
        <v>19</v>
      </c>
      <c r="J1087" s="52" t="s">
        <v>19</v>
      </c>
      <c r="K1087" s="52" t="str">
        <f t="shared" si="71"/>
        <v>Mpox</v>
      </c>
      <c r="M1087" s="55"/>
    </row>
    <row r="1088">
      <c r="A1088" s="53"/>
      <c r="B1088" s="50" t="str">
        <f>IFERROR(__xludf.DUMMYFUNCTION("""COMPUTED_VALUE"""),"Prince Edward Island - Health PEI                    ")</f>
        <v>Prince Edward Island - Health PEI                    </v>
      </c>
      <c r="C1088" s="53"/>
      <c r="D1088" s="29" t="str">
        <f>IFERROR(__xludf.DUMMYFUNCTION("""COMPUTED_VALUE"""),"")</f>
        <v/>
      </c>
      <c r="H1088" s="52" t="s">
        <v>19</v>
      </c>
      <c r="I1088" s="52" t="s">
        <v>19</v>
      </c>
      <c r="J1088" s="52" t="s">
        <v>19</v>
      </c>
      <c r="K1088" s="52" t="str">
        <f t="shared" si="71"/>
        <v>Mpox</v>
      </c>
      <c r="M1088" s="55"/>
    </row>
    <row r="1089">
      <c r="A1089" s="53"/>
      <c r="B1089" s="50" t="str">
        <f>IFERROR(__xludf.DUMMYFUNCTION("""COMPUTED_VALUE"""),"Public Health Ontario (PHO)                    ")</f>
        <v>Public Health Ontario (PHO)                    </v>
      </c>
      <c r="C1089" s="53"/>
      <c r="D1089" s="29" t="str">
        <f>IFERROR(__xludf.DUMMYFUNCTION("""COMPUTED_VALUE"""),"")</f>
        <v/>
      </c>
      <c r="H1089" s="54" t="s">
        <v>19</v>
      </c>
      <c r="I1089" s="54" t="s">
        <v>19</v>
      </c>
      <c r="J1089" s="54" t="s">
        <v>19</v>
      </c>
      <c r="K1089" s="52" t="str">
        <f t="shared" si="71"/>
        <v>Mpox</v>
      </c>
    </row>
    <row r="1090">
      <c r="A1090" s="53"/>
      <c r="B1090" s="50" t="str">
        <f>IFERROR(__xludf.DUMMYFUNCTION("""COMPUTED_VALUE"""),"Queen's University / Kingston Health Sciences Centre                    ")</f>
        <v>Queen's University / Kingston Health Sciences Centre                    </v>
      </c>
      <c r="C1090" s="53"/>
      <c r="D1090" s="29" t="str">
        <f>IFERROR(__xludf.DUMMYFUNCTION("""COMPUTED_VALUE"""),"")</f>
        <v/>
      </c>
      <c r="H1090" s="52" t="s">
        <v>19</v>
      </c>
      <c r="I1090" s="52" t="s">
        <v>19</v>
      </c>
      <c r="J1090" s="52" t="s">
        <v>19</v>
      </c>
      <c r="K1090" s="52" t="str">
        <f t="shared" si="71"/>
        <v>Mpox</v>
      </c>
      <c r="M1090" s="56"/>
    </row>
    <row r="1091">
      <c r="A1091" s="53"/>
      <c r="B1091" s="50" t="str">
        <f>IFERROR(__xludf.DUMMYFUNCTION("""COMPUTED_VALUE"""),"Saskatchewan - Roy Romanow Provincial Laboratory (RRPL)                    ")</f>
        <v>Saskatchewan - Roy Romanow Provincial Laboratory (RRPL)                    </v>
      </c>
      <c r="C1091" s="53"/>
      <c r="D1091" s="29" t="str">
        <f>IFERROR(__xludf.DUMMYFUNCTION("""COMPUTED_VALUE"""),"")</f>
        <v/>
      </c>
      <c r="H1091" s="52" t="s">
        <v>19</v>
      </c>
      <c r="I1091" s="52" t="s">
        <v>19</v>
      </c>
      <c r="J1091" s="52" t="s">
        <v>19</v>
      </c>
      <c r="K1091" s="52" t="str">
        <f t="shared" si="71"/>
        <v>Mpox</v>
      </c>
      <c r="M1091" s="55"/>
    </row>
    <row r="1092">
      <c r="A1092" s="53"/>
      <c r="B1092" s="50" t="str">
        <f>IFERROR(__xludf.DUMMYFUNCTION("""COMPUTED_VALUE"""),"Shared Hospital Laboratory                    ")</f>
        <v>Shared Hospital Laboratory                    </v>
      </c>
      <c r="C1092" s="53"/>
      <c r="D1092" s="29" t="str">
        <f>IFERROR(__xludf.DUMMYFUNCTION("""COMPUTED_VALUE"""),"")</f>
        <v/>
      </c>
      <c r="H1092" s="52" t="s">
        <v>19</v>
      </c>
      <c r="I1092" s="52" t="s">
        <v>19</v>
      </c>
      <c r="J1092" s="52" t="s">
        <v>19</v>
      </c>
      <c r="K1092" s="52" t="str">
        <f t="shared" si="71"/>
        <v>Mpox</v>
      </c>
      <c r="M1092" s="55"/>
    </row>
    <row r="1093">
      <c r="A1093" s="53"/>
      <c r="B1093" s="50" t="str">
        <f>IFERROR(__xludf.DUMMYFUNCTION("""COMPUTED_VALUE"""),"St. John's Rehab at Sunnybrook Hospital                    ")</f>
        <v>St. John's Rehab at Sunnybrook Hospital                    </v>
      </c>
      <c r="C1093" s="53"/>
      <c r="D1093" s="29" t="str">
        <f>IFERROR(__xludf.DUMMYFUNCTION("""COMPUTED_VALUE"""),"")</f>
        <v/>
      </c>
      <c r="H1093" s="52" t="s">
        <v>19</v>
      </c>
      <c r="I1093" s="52" t="s">
        <v>19</v>
      </c>
      <c r="J1093" s="52" t="s">
        <v>19</v>
      </c>
      <c r="K1093" s="52" t="str">
        <f t="shared" si="71"/>
        <v>Mpox</v>
      </c>
      <c r="M1093" s="55"/>
    </row>
    <row r="1094">
      <c r="A1094" s="53"/>
      <c r="B1094" s="50" t="str">
        <f>IFERROR(__xludf.DUMMYFUNCTION("""COMPUTED_VALUE"""),"Switch Health                    ")</f>
        <v>Switch Health                    </v>
      </c>
      <c r="C1094" s="53"/>
      <c r="D1094" s="29" t="str">
        <f>IFERROR(__xludf.DUMMYFUNCTION("""COMPUTED_VALUE"""),"")</f>
        <v/>
      </c>
      <c r="H1094" s="52" t="s">
        <v>19</v>
      </c>
      <c r="I1094" s="52" t="s">
        <v>19</v>
      </c>
      <c r="J1094" s="52" t="s">
        <v>19</v>
      </c>
      <c r="K1094" s="52" t="str">
        <f t="shared" si="71"/>
        <v>Mpox</v>
      </c>
      <c r="M1094" s="55"/>
    </row>
    <row r="1095">
      <c r="A1095" s="53"/>
      <c r="B1095" s="50" t="str">
        <f>IFERROR(__xludf.DUMMYFUNCTION("""COMPUTED_VALUE"""),"Sunnybrook Health Sciences Centre                    ")</f>
        <v>Sunnybrook Health Sciences Centre                    </v>
      </c>
      <c r="C1095" s="53"/>
      <c r="D1095" s="29" t="str">
        <f>IFERROR(__xludf.DUMMYFUNCTION("""COMPUTED_VALUE"""),"")</f>
        <v/>
      </c>
      <c r="H1095" s="52" t="s">
        <v>19</v>
      </c>
      <c r="I1095" s="52" t="s">
        <v>19</v>
      </c>
      <c r="J1095" s="52" t="s">
        <v>19</v>
      </c>
      <c r="K1095" s="52" t="str">
        <f t="shared" si="71"/>
        <v>Mpox</v>
      </c>
      <c r="M1095" s="55"/>
    </row>
    <row r="1096">
      <c r="A1096" s="53"/>
      <c r="B1096" s="50" t="str">
        <f>IFERROR(__xludf.DUMMYFUNCTION("""COMPUTED_VALUE"""),"Unity Health Toronto                    ")</f>
        <v>Unity Health Toronto                    </v>
      </c>
      <c r="C1096" s="53"/>
      <c r="D1096" s="29" t="str">
        <f>IFERROR(__xludf.DUMMYFUNCTION("""COMPUTED_VALUE"""),"")</f>
        <v/>
      </c>
      <c r="H1096" s="52"/>
      <c r="I1096" s="52"/>
      <c r="J1096" s="52"/>
      <c r="K1096" s="53" t="s">
        <v>29</v>
      </c>
      <c r="L1096" s="53" t="str">
        <f>LEFT(A1096, LEN(A1096) - 5)
</f>
        <v>#VALUE!</v>
      </c>
      <c r="M1096" s="60" t="s">
        <v>29</v>
      </c>
    </row>
    <row r="1097">
      <c r="A1097" s="53"/>
      <c r="B1097" s="50" t="str">
        <f>IFERROR(__xludf.DUMMYFUNCTION("""COMPUTED_VALUE"""),"William Osler Health System                    ")</f>
        <v>William Osler Health System                    </v>
      </c>
      <c r="C1097" s="53"/>
      <c r="D1097" s="29" t="str">
        <f>IFERROR(__xludf.DUMMYFUNCTION("""COMPUTED_VALUE"""),"")</f>
        <v/>
      </c>
      <c r="H1097" s="52" t="s">
        <v>19</v>
      </c>
      <c r="I1097" s="52" t="s">
        <v>19</v>
      </c>
      <c r="J1097" s="52" t="s">
        <v>19</v>
      </c>
      <c r="K1097" s="52" t="str">
        <f t="shared" ref="K1097:K1102" si="72">K1096</f>
        <v>Mpox</v>
      </c>
      <c r="M1097" s="56"/>
    </row>
    <row r="1098">
      <c r="A1098" s="53" t="str">
        <f>IFERROR(__xludf.DUMMYFUNCTION("""COMPUTED_VALUE"""),"gene name menu")</f>
        <v>gene name menu</v>
      </c>
      <c r="B1098" s="50" t="str">
        <f>IFERROR(__xludf.DUMMYFUNCTION("""COMPUTED_VALUE"""),"                    ")</f>
        <v>                    </v>
      </c>
      <c r="C1098" s="53"/>
      <c r="D1098" s="29" t="str">
        <f>IFERROR(__xludf.DUMMYFUNCTION("""COMPUTED_VALUE"""),"")</f>
        <v/>
      </c>
      <c r="E1098" s="53"/>
      <c r="F1098" s="53"/>
      <c r="G1098" s="53"/>
      <c r="H1098" s="52" t="s">
        <v>19</v>
      </c>
      <c r="I1098" s="52" t="s">
        <v>19</v>
      </c>
      <c r="J1098" s="52" t="s">
        <v>19</v>
      </c>
      <c r="K1098" s="52" t="str">
        <f t="shared" si="72"/>
        <v>Mpox</v>
      </c>
      <c r="M1098" s="55"/>
    </row>
    <row r="1099">
      <c r="A1099" s="53"/>
      <c r="B1099" s="50" t="str">
        <f>IFERROR(__xludf.DUMMYFUNCTION("""COMPUTED_VALUE"""),"MPX (orf B6R)                    ")</f>
        <v>MPX (orf B6R)                    </v>
      </c>
      <c r="C1099" s="53" t="str">
        <f>IFERROR(__xludf.DUMMYFUNCTION("""COMPUTED_VALUE"""),"GENEPIO:0100505")</f>
        <v>GENEPIO:0100505</v>
      </c>
      <c r="D1099" s="29"/>
      <c r="H1099" s="52" t="s">
        <v>19</v>
      </c>
      <c r="I1099" s="52" t="s">
        <v>19</v>
      </c>
      <c r="J1099" s="52" t="s">
        <v>19</v>
      </c>
      <c r="K1099" s="52" t="str">
        <f t="shared" si="72"/>
        <v>Mpox</v>
      </c>
      <c r="M1099" s="55"/>
    </row>
    <row r="1100">
      <c r="A1100" s="53"/>
      <c r="B1100" s="50" t="str">
        <f>IFERROR(__xludf.DUMMYFUNCTION("""COMPUTED_VALUE"""),"OPV (orf 17L)                    ")</f>
        <v>OPV (orf 17L)                    </v>
      </c>
      <c r="C1100" s="53" t="str">
        <f>IFERROR(__xludf.DUMMYFUNCTION("""COMPUTED_VALUE"""),"GENEPIO:0100506")</f>
        <v>GENEPIO:0100506</v>
      </c>
      <c r="D1100" s="29"/>
      <c r="H1100" s="52" t="s">
        <v>19</v>
      </c>
      <c r="I1100" s="52" t="s">
        <v>19</v>
      </c>
      <c r="J1100" s="52" t="s">
        <v>19</v>
      </c>
      <c r="K1100" s="52" t="str">
        <f t="shared" si="72"/>
        <v>Mpox</v>
      </c>
      <c r="M1100" s="55"/>
    </row>
    <row r="1101">
      <c r="A1101" s="53"/>
      <c r="B1101" s="50" t="str">
        <f>IFERROR(__xludf.DUMMYFUNCTION("""COMPUTED_VALUE"""),"OPHA (orf B2R)                    ")</f>
        <v>OPHA (orf B2R)                    </v>
      </c>
      <c r="C1101" s="53" t="str">
        <f>IFERROR(__xludf.DUMMYFUNCTION("""COMPUTED_VALUE"""),"GENEPIO:0100507")</f>
        <v>GENEPIO:0100507</v>
      </c>
      <c r="D1101" s="29"/>
      <c r="H1101" s="52" t="s">
        <v>19</v>
      </c>
      <c r="I1101" s="52" t="s">
        <v>19</v>
      </c>
      <c r="J1101" s="52" t="s">
        <v>19</v>
      </c>
      <c r="K1101" s="52" t="str">
        <f t="shared" si="72"/>
        <v>Mpox</v>
      </c>
      <c r="M1101" s="55"/>
    </row>
    <row r="1102">
      <c r="A1102" s="53"/>
      <c r="B1102" s="50" t="str">
        <f>IFERROR(__xludf.DUMMYFUNCTION("""COMPUTED_VALUE"""),"G2R_G (TNFR)                    ")</f>
        <v>G2R_G (TNFR)                    </v>
      </c>
      <c r="C1102" s="53" t="str">
        <f>IFERROR(__xludf.DUMMYFUNCTION("""COMPUTED_VALUE"""),"GENEPIO:0100510")</f>
        <v>GENEPIO:0100510</v>
      </c>
      <c r="D1102" s="29"/>
      <c r="H1102" s="52" t="s">
        <v>19</v>
      </c>
      <c r="I1102" s="52" t="s">
        <v>19</v>
      </c>
      <c r="J1102" s="52" t="s">
        <v>19</v>
      </c>
      <c r="K1102" s="52" t="str">
        <f t="shared" si="72"/>
        <v>Mpox</v>
      </c>
      <c r="M1102" s="55"/>
    </row>
    <row r="1103">
      <c r="A1103" s="53"/>
      <c r="B1103" s="50" t="str">
        <f>IFERROR(__xludf.DUMMYFUNCTION("""COMPUTED_VALUE"""),"G2R_G (WA)                    ")</f>
        <v>G2R_G (WA)                    </v>
      </c>
      <c r="C1103" s="53"/>
      <c r="D1103" s="29"/>
      <c r="H1103" s="52"/>
      <c r="I1103" s="52"/>
      <c r="J1103" s="52"/>
      <c r="K1103" s="53" t="s">
        <v>31</v>
      </c>
      <c r="L1103" s="53" t="str">
        <f>LEFT(A1103, LEN(A1103) - 5)
</f>
        <v>#VALUE!</v>
      </c>
      <c r="M1103" s="58" t="s">
        <v>32</v>
      </c>
    </row>
    <row r="1104">
      <c r="A1104" s="53"/>
      <c r="B1104" s="50" t="str">
        <f>IFERROR(__xludf.DUMMYFUNCTION("""COMPUTED_VALUE"""),"RNAse P gene (RNP)                    ")</f>
        <v>RNAse P gene (RNP)                    </v>
      </c>
      <c r="C1104" s="53" t="str">
        <f>IFERROR(__xludf.DUMMYFUNCTION("""COMPUTED_VALUE"""),"GENEPIO:0100508")</f>
        <v>GENEPIO:0100508</v>
      </c>
      <c r="D1104" s="29"/>
      <c r="H1104" s="52" t="s">
        <v>30</v>
      </c>
      <c r="I1104" s="52" t="s">
        <v>30</v>
      </c>
      <c r="J1104" s="52" t="s">
        <v>30</v>
      </c>
      <c r="K1104" s="52" t="str">
        <f t="shared" ref="K1104:K1276" si="73">K1103</f>
        <v>International</v>
      </c>
      <c r="M1104" s="55"/>
    </row>
    <row r="1105">
      <c r="A1105" s="53" t="str">
        <f>IFERROR(__xludf.DUMMYFUNCTION("""COMPUTED_VALUE"""),"gene symbol international menu")</f>
        <v>gene symbol international menu</v>
      </c>
      <c r="B1105" s="50" t="str">
        <f>IFERROR(__xludf.DUMMYFUNCTION("""COMPUTED_VALUE"""),"                    ")</f>
        <v>                    </v>
      </c>
      <c r="C1105" s="53"/>
      <c r="D1105" s="29"/>
      <c r="E1105" s="53"/>
      <c r="F1105" s="53"/>
      <c r="G1105" s="53"/>
      <c r="H1105" s="52" t="s">
        <v>30</v>
      </c>
      <c r="I1105" s="52" t="s">
        <v>30</v>
      </c>
      <c r="J1105" s="52" t="s">
        <v>30</v>
      </c>
      <c r="K1105" s="52" t="str">
        <f t="shared" si="73"/>
        <v>International</v>
      </c>
      <c r="M1105" s="55"/>
    </row>
    <row r="1106">
      <c r="A1106" s="53"/>
      <c r="B1106" s="50" t="str">
        <f>IFERROR(__xludf.DUMMYFUNCTION("""COMPUTED_VALUE"""),"opg001 gene (MPOX)                    ")</f>
        <v>opg001 gene (MPOX)                    </v>
      </c>
      <c r="C1106" s="59" t="str">
        <f>IFERROR(__xludf.DUMMYFUNCTION("""COMPUTED_VALUE"""),"GENEPIO:0101382")</f>
        <v>GENEPIO:0101382</v>
      </c>
      <c r="D1106" s="29" t="str">
        <f>IFERROR(__xludf.DUMMYFUNCTION("""COMPUTED_VALUE"""),"A gene that encodes the Chemokine binding protein (MPOX).")</f>
        <v>A gene that encodes the Chemokine binding protein (MPOX).</v>
      </c>
      <c r="H1106" s="52" t="s">
        <v>30</v>
      </c>
      <c r="I1106" s="52" t="s">
        <v>30</v>
      </c>
      <c r="J1106" s="52" t="s">
        <v>30</v>
      </c>
      <c r="K1106" s="52" t="str">
        <f t="shared" si="73"/>
        <v>International</v>
      </c>
      <c r="M1106" s="55"/>
    </row>
    <row r="1107">
      <c r="A1107" s="53"/>
      <c r="B1107" s="50" t="str">
        <f>IFERROR(__xludf.DUMMYFUNCTION("""COMPUTED_VALUE"""),"opg002 gene (MPOX)                    ")</f>
        <v>opg002 gene (MPOX)                    </v>
      </c>
      <c r="C1107" s="59" t="str">
        <f>IFERROR(__xludf.DUMMYFUNCTION("""COMPUTED_VALUE"""),"GENEPIO:0101383")</f>
        <v>GENEPIO:0101383</v>
      </c>
      <c r="D1107" s="29" t="str">
        <f>IFERROR(__xludf.DUMMYFUNCTION("""COMPUTED_VALUE"""),"A gene that encodes the Crm-B secreted TNF-alpha-receptor-like protein (MPOX).")</f>
        <v>A gene that encodes the Crm-B secreted TNF-alpha-receptor-like protein (MPOX).</v>
      </c>
      <c r="H1107" s="52" t="s">
        <v>30</v>
      </c>
      <c r="I1107" s="52" t="s">
        <v>30</v>
      </c>
      <c r="J1107" s="52" t="s">
        <v>30</v>
      </c>
      <c r="K1107" s="52" t="str">
        <f t="shared" si="73"/>
        <v>International</v>
      </c>
      <c r="M1107" s="55"/>
    </row>
    <row r="1108">
      <c r="A1108" s="53"/>
      <c r="B1108" s="50" t="str">
        <f>IFERROR(__xludf.DUMMYFUNCTION("""COMPUTED_VALUE"""),"opg003 gene (MPOX)                    ")</f>
        <v>opg003 gene (MPOX)                    </v>
      </c>
      <c r="C1108" s="59" t="str">
        <f>IFERROR(__xludf.DUMMYFUNCTION("""COMPUTED_VALUE"""),"GENEPIO:0101384")</f>
        <v>GENEPIO:0101384</v>
      </c>
      <c r="D1108" s="29" t="str">
        <f>IFERROR(__xludf.DUMMYFUNCTION("""COMPUTED_VALUE"""),"A gene that encodes the Ankyrin repeat protein (25) (MPOX).")</f>
        <v>A gene that encodes the Ankyrin repeat protein (25) (MPOX).</v>
      </c>
      <c r="H1108" s="52" t="s">
        <v>30</v>
      </c>
      <c r="I1108" s="52" t="s">
        <v>30</v>
      </c>
      <c r="J1108" s="52" t="s">
        <v>30</v>
      </c>
      <c r="K1108" s="52" t="str">
        <f t="shared" si="73"/>
        <v>International</v>
      </c>
      <c r="M1108" s="55"/>
    </row>
    <row r="1109">
      <c r="A1109" s="53"/>
      <c r="B1109" s="50" t="str">
        <f>IFERROR(__xludf.DUMMYFUNCTION("""COMPUTED_VALUE"""),"opg015 gene (MPOX)                    ")</f>
        <v>opg015 gene (MPOX)                    </v>
      </c>
      <c r="C1109" s="59" t="str">
        <f>IFERROR(__xludf.DUMMYFUNCTION("""COMPUTED_VALUE"""),"GENEPIO:0101385")</f>
        <v>GENEPIO:0101385</v>
      </c>
      <c r="D1109" s="29" t="str">
        <f>IFERROR(__xludf.DUMMYFUNCTION("""COMPUTED_VALUE"""),"A gene that encodes the Ankyrin repeat protein (39) (MPOX).")</f>
        <v>A gene that encodes the Ankyrin repeat protein (39) (MPOX).</v>
      </c>
      <c r="H1109" s="52" t="s">
        <v>30</v>
      </c>
      <c r="I1109" s="52" t="s">
        <v>30</v>
      </c>
      <c r="J1109" s="52" t="s">
        <v>30</v>
      </c>
      <c r="K1109" s="52" t="str">
        <f t="shared" si="73"/>
        <v>International</v>
      </c>
      <c r="M1109" s="55"/>
    </row>
    <row r="1110">
      <c r="A1110" s="53"/>
      <c r="B1110" s="50" t="str">
        <f>IFERROR(__xludf.DUMMYFUNCTION("""COMPUTED_VALUE"""),"opg019 gene (MPOX)                    ")</f>
        <v>opg019 gene (MPOX)                    </v>
      </c>
      <c r="C1110" s="59" t="str">
        <f>IFERROR(__xludf.DUMMYFUNCTION("""COMPUTED_VALUE"""),"GENEPIO:0101386")</f>
        <v>GENEPIO:0101386</v>
      </c>
      <c r="D1110" s="29" t="str">
        <f>IFERROR(__xludf.DUMMYFUNCTION("""COMPUTED_VALUE"""),"A gene that encodes the EGF-like domain protein (MPOX).")</f>
        <v>A gene that encodes the EGF-like domain protein (MPOX).</v>
      </c>
      <c r="H1110" s="52" t="s">
        <v>30</v>
      </c>
      <c r="I1110" s="52" t="s">
        <v>30</v>
      </c>
      <c r="J1110" s="52" t="s">
        <v>30</v>
      </c>
      <c r="K1110" s="52" t="str">
        <f t="shared" si="73"/>
        <v>International</v>
      </c>
      <c r="M1110" s="55"/>
    </row>
    <row r="1111">
      <c r="A1111" s="53"/>
      <c r="B1111" s="50" t="str">
        <f>IFERROR(__xludf.DUMMYFUNCTION("""COMPUTED_VALUE"""),"opg021 gene (MPOX)                    ")</f>
        <v>opg021 gene (MPOX)                    </v>
      </c>
      <c r="C1111" s="59" t="str">
        <f>IFERROR(__xludf.DUMMYFUNCTION("""COMPUTED_VALUE"""),"GENEPIO:0101387")</f>
        <v>GENEPIO:0101387</v>
      </c>
      <c r="D1111" s="29" t="str">
        <f>IFERROR(__xludf.DUMMYFUNCTION("""COMPUTED_VALUE"""),"A gene that encodes the Zinc finger-like protein (2) (MPOX).")</f>
        <v>A gene that encodes the Zinc finger-like protein (2) (MPOX).</v>
      </c>
      <c r="H1111" s="52" t="s">
        <v>30</v>
      </c>
      <c r="I1111" s="52" t="s">
        <v>30</v>
      </c>
      <c r="J1111" s="52" t="s">
        <v>30</v>
      </c>
      <c r="K1111" s="52" t="str">
        <f t="shared" si="73"/>
        <v>International</v>
      </c>
      <c r="M1111" s="55"/>
    </row>
    <row r="1112">
      <c r="A1112" s="53"/>
      <c r="B1112" s="50" t="str">
        <f>IFERROR(__xludf.DUMMYFUNCTION("""COMPUTED_VALUE"""),"opg022 gene (MPOX)                    ")</f>
        <v>opg022 gene (MPOX)                    </v>
      </c>
      <c r="C1112" s="59" t="str">
        <f>IFERROR(__xludf.DUMMYFUNCTION("""COMPUTED_VALUE"""),"GENEPIO:0101388")</f>
        <v>GENEPIO:0101388</v>
      </c>
      <c r="D1112" s="29" t="str">
        <f>IFERROR(__xludf.DUMMYFUNCTION("""COMPUTED_VALUE"""),"A gene that encodes the Interleukin-18-binding protein (MPOX).")</f>
        <v>A gene that encodes the Interleukin-18-binding protein (MPOX).</v>
      </c>
      <c r="H1112" s="52" t="s">
        <v>30</v>
      </c>
      <c r="I1112" s="52" t="s">
        <v>30</v>
      </c>
      <c r="J1112" s="52" t="s">
        <v>30</v>
      </c>
      <c r="K1112" s="52" t="str">
        <f t="shared" si="73"/>
        <v>International</v>
      </c>
      <c r="M1112" s="55"/>
    </row>
    <row r="1113">
      <c r="A1113" s="53"/>
      <c r="B1113" s="50" t="str">
        <f>IFERROR(__xludf.DUMMYFUNCTION("""COMPUTED_VALUE"""),"opg023 gene (MPOX)                    ")</f>
        <v>opg023 gene (MPOX)                    </v>
      </c>
      <c r="C1113" s="59" t="str">
        <f>IFERROR(__xludf.DUMMYFUNCTION("""COMPUTED_VALUE"""),"GENEPIO:0101389")</f>
        <v>GENEPIO:0101389</v>
      </c>
      <c r="D1113" s="29" t="str">
        <f>IFERROR(__xludf.DUMMYFUNCTION("""COMPUTED_VALUE"""),"A gene that encodes the Ankyrin repeat protein (2) (MPOX).")</f>
        <v>A gene that encodes the Ankyrin repeat protein (2) (MPOX).</v>
      </c>
      <c r="H1113" s="52" t="s">
        <v>30</v>
      </c>
      <c r="I1113" s="52" t="s">
        <v>30</v>
      </c>
      <c r="J1113" s="52" t="s">
        <v>30</v>
      </c>
      <c r="K1113" s="52" t="str">
        <f t="shared" si="73"/>
        <v>International</v>
      </c>
      <c r="M1113" s="55"/>
    </row>
    <row r="1114">
      <c r="A1114" s="53"/>
      <c r="B1114" s="50" t="str">
        <f>IFERROR(__xludf.DUMMYFUNCTION("""COMPUTED_VALUE"""),"opg024 gene (MPOX)                    ")</f>
        <v>opg024 gene (MPOX)                    </v>
      </c>
      <c r="C1114" s="59" t="str">
        <f>IFERROR(__xludf.DUMMYFUNCTION("""COMPUTED_VALUE"""),"GENEPIO:0101390")</f>
        <v>GENEPIO:0101390</v>
      </c>
      <c r="D1114" s="29" t="str">
        <f>IFERROR(__xludf.DUMMYFUNCTION("""COMPUTED_VALUE"""),"A gene that encodes the retroviral pseudoprotease-like protein (MPOX).")</f>
        <v>A gene that encodes the retroviral pseudoprotease-like protein (MPOX).</v>
      </c>
      <c r="H1114" s="52" t="s">
        <v>30</v>
      </c>
      <c r="I1114" s="52" t="s">
        <v>30</v>
      </c>
      <c r="J1114" s="52" t="s">
        <v>30</v>
      </c>
      <c r="K1114" s="52" t="str">
        <f t="shared" si="73"/>
        <v>International</v>
      </c>
      <c r="M1114" s="55"/>
    </row>
    <row r="1115">
      <c r="A1115" s="53"/>
      <c r="B1115" s="50" t="str">
        <f>IFERROR(__xludf.DUMMYFUNCTION("""COMPUTED_VALUE"""),"opg025 gene (MPOX)                    ")</f>
        <v>opg025 gene (MPOX)                    </v>
      </c>
      <c r="C1115" s="59" t="str">
        <f>IFERROR(__xludf.DUMMYFUNCTION("""COMPUTED_VALUE"""),"GENEPIO:0101391")</f>
        <v>GENEPIO:0101391</v>
      </c>
      <c r="D1115" s="29" t="str">
        <f>IFERROR(__xludf.DUMMYFUNCTION("""COMPUTED_VALUE"""),"A gene that encodes the Ankyrin repeat protein (14) (MPOX).")</f>
        <v>A gene that encodes the Ankyrin repeat protein (14) (MPOX).</v>
      </c>
      <c r="H1115" s="52" t="s">
        <v>30</v>
      </c>
      <c r="I1115" s="52" t="s">
        <v>30</v>
      </c>
      <c r="J1115" s="52" t="s">
        <v>30</v>
      </c>
      <c r="K1115" s="52" t="str">
        <f t="shared" si="73"/>
        <v>International</v>
      </c>
      <c r="M1115" s="55"/>
    </row>
    <row r="1116">
      <c r="A1116" s="53"/>
      <c r="B1116" s="50" t="str">
        <f>IFERROR(__xludf.DUMMYFUNCTION("""COMPUTED_VALUE"""),"opg027 gene (MPOX)                    ")</f>
        <v>opg027 gene (MPOX)                    </v>
      </c>
      <c r="C1116" s="59" t="str">
        <f>IFERROR(__xludf.DUMMYFUNCTION("""COMPUTED_VALUE"""),"GENEPIO:0101392")</f>
        <v>GENEPIO:0101392</v>
      </c>
      <c r="D1116" s="29" t="str">
        <f>IFERROR(__xludf.DUMMYFUNCTION("""COMPUTED_VALUE"""),"A gene that encodes the Host range protein (MPOX).")</f>
        <v>A gene that encodes the Host range protein (MPOX).</v>
      </c>
      <c r="H1116" s="52" t="s">
        <v>30</v>
      </c>
      <c r="I1116" s="52" t="s">
        <v>30</v>
      </c>
      <c r="J1116" s="52" t="s">
        <v>30</v>
      </c>
      <c r="K1116" s="52" t="str">
        <f t="shared" si="73"/>
        <v>International</v>
      </c>
      <c r="M1116" s="55"/>
    </row>
    <row r="1117">
      <c r="A1117" s="53"/>
      <c r="B1117" s="50" t="str">
        <f>IFERROR(__xludf.DUMMYFUNCTION("""COMPUTED_VALUE"""),"opg029 gene (MPOX)                    ")</f>
        <v>opg029 gene (MPOX)                    </v>
      </c>
      <c r="C1117" s="59" t="str">
        <f>IFERROR(__xludf.DUMMYFUNCTION("""COMPUTED_VALUE"""),"GENEPIO:0101393")</f>
        <v>GENEPIO:0101393</v>
      </c>
      <c r="D1117" s="29" t="str">
        <f>IFERROR(__xludf.DUMMYFUNCTION("""COMPUTED_VALUE"""),"A gene that encodes the Bcl-2-like protein (MPOX).")</f>
        <v>A gene that encodes the Bcl-2-like protein (MPOX).</v>
      </c>
      <c r="H1117" s="52" t="s">
        <v>30</v>
      </c>
      <c r="I1117" s="52" t="s">
        <v>30</v>
      </c>
      <c r="J1117" s="52" t="s">
        <v>30</v>
      </c>
      <c r="K1117" s="52" t="str">
        <f t="shared" si="73"/>
        <v>International</v>
      </c>
      <c r="M1117" s="55"/>
    </row>
    <row r="1118">
      <c r="A1118" s="53"/>
      <c r="B1118" s="50" t="str">
        <f>IFERROR(__xludf.DUMMYFUNCTION("""COMPUTED_VALUE"""),"opg030 gene (MPOX)                    ")</f>
        <v>opg030 gene (MPOX)                    </v>
      </c>
      <c r="C1118" s="59" t="str">
        <f>IFERROR(__xludf.DUMMYFUNCTION("""COMPUTED_VALUE"""),"GENEPIO:0101394")</f>
        <v>GENEPIO:0101394</v>
      </c>
      <c r="D1118" s="29" t="str">
        <f>IFERROR(__xludf.DUMMYFUNCTION("""COMPUTED_VALUE"""),"A gene that encodes the Kelch-like protein (1) (MPOX).")</f>
        <v>A gene that encodes the Kelch-like protein (1) (MPOX).</v>
      </c>
      <c r="H1118" s="52" t="s">
        <v>30</v>
      </c>
      <c r="I1118" s="52" t="s">
        <v>30</v>
      </c>
      <c r="J1118" s="52" t="s">
        <v>30</v>
      </c>
      <c r="K1118" s="52" t="str">
        <f t="shared" si="73"/>
        <v>International</v>
      </c>
      <c r="M1118" s="55"/>
    </row>
    <row r="1119">
      <c r="A1119" s="53"/>
      <c r="B1119" s="50" t="str">
        <f>IFERROR(__xludf.DUMMYFUNCTION("""COMPUTED_VALUE"""),"opg031 gene (MPOX)                    ")</f>
        <v>opg031 gene (MPOX)                    </v>
      </c>
      <c r="C1119" s="59" t="str">
        <f>IFERROR(__xludf.DUMMYFUNCTION("""COMPUTED_VALUE"""),"GENEPIO:0101395")</f>
        <v>GENEPIO:0101395</v>
      </c>
      <c r="D1119" s="29" t="str">
        <f>IFERROR(__xludf.DUMMYFUNCTION("""COMPUTED_VALUE"""),"A gene that encodes the C4L/C10L-like family protein (MPOX).")</f>
        <v>A gene that encodes the C4L/C10L-like family protein (MPOX).</v>
      </c>
      <c r="H1119" s="52" t="s">
        <v>30</v>
      </c>
      <c r="I1119" s="52" t="s">
        <v>30</v>
      </c>
      <c r="J1119" s="52" t="s">
        <v>30</v>
      </c>
      <c r="K1119" s="52" t="str">
        <f t="shared" si="73"/>
        <v>International</v>
      </c>
      <c r="M1119" s="55"/>
    </row>
    <row r="1120">
      <c r="A1120" s="53"/>
      <c r="B1120" s="50" t="str">
        <f>IFERROR(__xludf.DUMMYFUNCTION("""COMPUTED_VALUE"""),"opg034 gene (MPOX)                    ")</f>
        <v>opg034 gene (MPOX)                    </v>
      </c>
      <c r="C1120" s="59" t="str">
        <f>IFERROR(__xludf.DUMMYFUNCTION("""COMPUTED_VALUE"""),"GENEPIO:0101396")</f>
        <v>GENEPIO:0101396</v>
      </c>
      <c r="D1120" s="29" t="str">
        <f>IFERROR(__xludf.DUMMYFUNCTION("""COMPUTED_VALUE"""),"A gene that encodes the Bcl-2-like protein (MPOX).")</f>
        <v>A gene that encodes the Bcl-2-like protein (MPOX).</v>
      </c>
      <c r="H1120" s="52" t="s">
        <v>30</v>
      </c>
      <c r="I1120" s="52" t="s">
        <v>30</v>
      </c>
      <c r="J1120" s="52" t="s">
        <v>30</v>
      </c>
      <c r="K1120" s="52" t="str">
        <f t="shared" si="73"/>
        <v>International</v>
      </c>
      <c r="M1120" s="55"/>
    </row>
    <row r="1121">
      <c r="A1121" s="53"/>
      <c r="B1121" s="50" t="str">
        <f>IFERROR(__xludf.DUMMYFUNCTION("""COMPUTED_VALUE"""),"opg035 gene (MPOX)                    ")</f>
        <v>opg035 gene (MPOX)                    </v>
      </c>
      <c r="C1121" s="59" t="str">
        <f>IFERROR(__xludf.DUMMYFUNCTION("""COMPUTED_VALUE"""),"GENEPIO:0101397")</f>
        <v>GENEPIO:0101397</v>
      </c>
      <c r="D1121" s="29" t="str">
        <f>IFERROR(__xludf.DUMMYFUNCTION("""COMPUTED_VALUE"""),"A gene that encodes the Bcl-2-like protein (MPOX).")</f>
        <v>A gene that encodes the Bcl-2-like protein (MPOX).</v>
      </c>
      <c r="H1121" s="52" t="s">
        <v>30</v>
      </c>
      <c r="I1121" s="52" t="s">
        <v>30</v>
      </c>
      <c r="J1121" s="52" t="s">
        <v>30</v>
      </c>
      <c r="K1121" s="52" t="str">
        <f t="shared" si="73"/>
        <v>International</v>
      </c>
      <c r="M1121" s="55"/>
    </row>
    <row r="1122">
      <c r="A1122" s="53"/>
      <c r="B1122" s="50" t="str">
        <f>IFERROR(__xludf.DUMMYFUNCTION("""COMPUTED_VALUE"""),"opg037 gene (MPOX)                    ")</f>
        <v>opg037 gene (MPOX)                    </v>
      </c>
      <c r="C1122" s="59" t="str">
        <f>IFERROR(__xludf.DUMMYFUNCTION("""COMPUTED_VALUE"""),"GENEPIO:0101399")</f>
        <v>GENEPIO:0101399</v>
      </c>
      <c r="D1122" s="29" t="str">
        <f>IFERROR(__xludf.DUMMYFUNCTION("""COMPUTED_VALUE"""),"A gene that encodes the Ankyrin-like protein (1) (MPOX).")</f>
        <v>A gene that encodes the Ankyrin-like protein (1) (MPOX).</v>
      </c>
      <c r="H1122" s="52" t="s">
        <v>30</v>
      </c>
      <c r="I1122" s="52" t="s">
        <v>30</v>
      </c>
      <c r="J1122" s="52" t="s">
        <v>30</v>
      </c>
      <c r="K1122" s="52" t="str">
        <f t="shared" si="73"/>
        <v>International</v>
      </c>
      <c r="M1122" s="55"/>
    </row>
    <row r="1123">
      <c r="A1123" s="53"/>
      <c r="B1123" s="50" t="str">
        <f>IFERROR(__xludf.DUMMYFUNCTION("""COMPUTED_VALUE"""),"opg038 gene (MPOX)                    ")</f>
        <v>opg038 gene (MPOX)                    </v>
      </c>
      <c r="C1123" s="59" t="str">
        <f>IFERROR(__xludf.DUMMYFUNCTION("""COMPUTED_VALUE"""),"GENEPIO:0101400")</f>
        <v>GENEPIO:0101400</v>
      </c>
      <c r="D1123" s="29" t="str">
        <f>IFERROR(__xludf.DUMMYFUNCTION("""COMPUTED_VALUE"""),"A gene that encodes the NFkB inhibitor protein (MPOX).")</f>
        <v>A gene that encodes the NFkB inhibitor protein (MPOX).</v>
      </c>
      <c r="H1123" s="52" t="s">
        <v>30</v>
      </c>
      <c r="I1123" s="52" t="s">
        <v>30</v>
      </c>
      <c r="J1123" s="52" t="s">
        <v>30</v>
      </c>
      <c r="K1123" s="52" t="str">
        <f t="shared" si="73"/>
        <v>International</v>
      </c>
      <c r="M1123" s="55"/>
    </row>
    <row r="1124">
      <c r="A1124" s="53"/>
      <c r="B1124" s="50" t="str">
        <f>IFERROR(__xludf.DUMMYFUNCTION("""COMPUTED_VALUE"""),"opg039 gene (MPOX)                    ")</f>
        <v>opg039 gene (MPOX)                    </v>
      </c>
      <c r="C1124" s="59" t="str">
        <f>IFERROR(__xludf.DUMMYFUNCTION("""COMPUTED_VALUE"""),"GENEPIO:0101401")</f>
        <v>GENEPIO:0101401</v>
      </c>
      <c r="D1124" s="29" t="str">
        <f>IFERROR(__xludf.DUMMYFUNCTION("""COMPUTED_VALUE"""),"A gene that encodes the Ankyrin-like protein (3) (MPOX).")</f>
        <v>A gene that encodes the Ankyrin-like protein (3) (MPOX).</v>
      </c>
      <c r="H1124" s="52" t="s">
        <v>30</v>
      </c>
      <c r="I1124" s="52" t="s">
        <v>30</v>
      </c>
      <c r="J1124" s="52" t="s">
        <v>30</v>
      </c>
      <c r="K1124" s="52" t="str">
        <f t="shared" si="73"/>
        <v>International</v>
      </c>
      <c r="M1124" s="55"/>
    </row>
    <row r="1125">
      <c r="A1125" s="53"/>
      <c r="B1125" s="50" t="str">
        <f>IFERROR(__xludf.DUMMYFUNCTION("""COMPUTED_VALUE"""),"opg040 gene (MPOX)                    ")</f>
        <v>opg040 gene (MPOX)                    </v>
      </c>
      <c r="C1125" s="59" t="str">
        <f>IFERROR(__xludf.DUMMYFUNCTION("""COMPUTED_VALUE"""),"GENEPIO:0101402")</f>
        <v>GENEPIO:0101402</v>
      </c>
      <c r="D1125" s="29" t="str">
        <f>IFERROR(__xludf.DUMMYFUNCTION("""COMPUTED_VALUE"""),"A gene that encodes the Serpin protein (MPOX).")</f>
        <v>A gene that encodes the Serpin protein (MPOX).</v>
      </c>
      <c r="H1125" s="52" t="s">
        <v>30</v>
      </c>
      <c r="I1125" s="52" t="s">
        <v>30</v>
      </c>
      <c r="J1125" s="52" t="s">
        <v>30</v>
      </c>
      <c r="K1125" s="52" t="str">
        <f t="shared" si="73"/>
        <v>International</v>
      </c>
      <c r="M1125" s="55"/>
    </row>
    <row r="1126">
      <c r="A1126" s="53"/>
      <c r="B1126" s="50" t="str">
        <f>IFERROR(__xludf.DUMMYFUNCTION("""COMPUTED_VALUE"""),"opg042 gene (MPOX)                    ")</f>
        <v>opg042 gene (MPOX)                    </v>
      </c>
      <c r="C1126" s="59" t="str">
        <f>IFERROR(__xludf.DUMMYFUNCTION("""COMPUTED_VALUE"""),"GENEPIO:0101403")</f>
        <v>GENEPIO:0101403</v>
      </c>
      <c r="D1126" s="29" t="str">
        <f>IFERROR(__xludf.DUMMYFUNCTION("""COMPUTED_VALUE"""),"A gene that encodes the Phospholipase-D-like protein (MPOX).")</f>
        <v>A gene that encodes the Phospholipase-D-like protein (MPOX).</v>
      </c>
      <c r="H1126" s="52" t="s">
        <v>30</v>
      </c>
      <c r="I1126" s="52" t="s">
        <v>30</v>
      </c>
      <c r="J1126" s="52" t="s">
        <v>30</v>
      </c>
      <c r="K1126" s="52" t="str">
        <f t="shared" si="73"/>
        <v>International</v>
      </c>
      <c r="M1126" s="55"/>
    </row>
    <row r="1127">
      <c r="A1127" s="53"/>
      <c r="B1127" s="50" t="str">
        <f>IFERROR(__xludf.DUMMYFUNCTION("""COMPUTED_VALUE"""),"opg043 gene (MPOX)                    ")</f>
        <v>opg043 gene (MPOX)                    </v>
      </c>
      <c r="C1127" s="59" t="str">
        <f>IFERROR(__xludf.DUMMYFUNCTION("""COMPUTED_VALUE"""),"GENEPIO:0101404")</f>
        <v>GENEPIO:0101404</v>
      </c>
      <c r="D1127" s="29" t="str">
        <f>IFERROR(__xludf.DUMMYFUNCTION("""COMPUTED_VALUE"""),"A gene that encodes the Putative monoglyceride lipase protein (MPOX).")</f>
        <v>A gene that encodes the Putative monoglyceride lipase protein (MPOX).</v>
      </c>
      <c r="H1127" s="52" t="s">
        <v>30</v>
      </c>
      <c r="I1127" s="52" t="s">
        <v>30</v>
      </c>
      <c r="J1127" s="52" t="s">
        <v>30</v>
      </c>
      <c r="K1127" s="52" t="str">
        <f t="shared" si="73"/>
        <v>International</v>
      </c>
      <c r="M1127" s="55"/>
    </row>
    <row r="1128">
      <c r="A1128" s="53"/>
      <c r="B1128" s="50" t="str">
        <f>IFERROR(__xludf.DUMMYFUNCTION("""COMPUTED_VALUE"""),"opg045 gene (MPOX)                    ")</f>
        <v>opg045 gene (MPOX)                    </v>
      </c>
      <c r="C1128" s="59" t="str">
        <f>IFERROR(__xludf.DUMMYFUNCTION("""COMPUTED_VALUE"""),"GENEPIO:0101406")</f>
        <v>GENEPIO:0101406</v>
      </c>
      <c r="D1128" s="29" t="str">
        <f>IFERROR(__xludf.DUMMYFUNCTION("""COMPUTED_VALUE"""),"A gene that encodes the Caspase-9 inhibitor protein (MPOX).")</f>
        <v>A gene that encodes the Caspase-9 inhibitor protein (MPOX).</v>
      </c>
      <c r="H1128" s="52" t="s">
        <v>30</v>
      </c>
      <c r="I1128" s="52" t="s">
        <v>30</v>
      </c>
      <c r="J1128" s="52" t="s">
        <v>30</v>
      </c>
      <c r="K1128" s="52" t="str">
        <f t="shared" si="73"/>
        <v>International</v>
      </c>
      <c r="M1128" s="55"/>
    </row>
    <row r="1129">
      <c r="A1129" s="53"/>
      <c r="B1129" s="50" t="str">
        <f>IFERROR(__xludf.DUMMYFUNCTION("""COMPUTED_VALUE"""),"opg046 gene (MPOX)                    ")</f>
        <v>opg046 gene (MPOX)                    </v>
      </c>
      <c r="C1129" s="59" t="str">
        <f>IFERROR(__xludf.DUMMYFUNCTION("""COMPUTED_VALUE"""),"GENEPIO:0101407")</f>
        <v>GENEPIO:0101407</v>
      </c>
      <c r="D1129" s="29" t="str">
        <f>IFERROR(__xludf.DUMMYFUNCTION("""COMPUTED_VALUE"""),"A gene that encodes the dUTPase protein (MPOX).")</f>
        <v>A gene that encodes the dUTPase protein (MPOX).</v>
      </c>
      <c r="H1129" s="52" t="s">
        <v>30</v>
      </c>
      <c r="I1129" s="52" t="s">
        <v>30</v>
      </c>
      <c r="J1129" s="52" t="s">
        <v>30</v>
      </c>
      <c r="K1129" s="52" t="str">
        <f t="shared" si="73"/>
        <v>International</v>
      </c>
      <c r="M1129" s="55"/>
    </row>
    <row r="1130">
      <c r="A1130" s="53"/>
      <c r="B1130" s="50" t="str">
        <f>IFERROR(__xludf.DUMMYFUNCTION("""COMPUTED_VALUE"""),"opg047 gene (MPOX)                    ")</f>
        <v>opg047 gene (MPOX)                    </v>
      </c>
      <c r="C1130" s="59" t="str">
        <f>IFERROR(__xludf.DUMMYFUNCTION("""COMPUTED_VALUE"""),"GENEPIO:0101408")</f>
        <v>GENEPIO:0101408</v>
      </c>
      <c r="D1130" s="29" t="str">
        <f>IFERROR(__xludf.DUMMYFUNCTION("""COMPUTED_VALUE"""),"A gene that encodes the Kelch-like protein (2) (MPOX).")</f>
        <v>A gene that encodes the Kelch-like protein (2) (MPOX).</v>
      </c>
      <c r="H1130" s="52" t="s">
        <v>30</v>
      </c>
      <c r="I1130" s="52" t="s">
        <v>30</v>
      </c>
      <c r="J1130" s="52" t="s">
        <v>30</v>
      </c>
      <c r="K1130" s="52" t="str">
        <f t="shared" si="73"/>
        <v>International</v>
      </c>
      <c r="M1130" s="55"/>
    </row>
    <row r="1131">
      <c r="A1131" s="53"/>
      <c r="B1131" s="50" t="str">
        <f>IFERROR(__xludf.DUMMYFUNCTION("""COMPUTED_VALUE"""),"opg048 gene (MPOX)                    ")</f>
        <v>opg048 gene (MPOX)                    </v>
      </c>
      <c r="C1131" s="59" t="str">
        <f>IFERROR(__xludf.DUMMYFUNCTION("""COMPUTED_VALUE"""),"GENEPIO:0101409")</f>
        <v>GENEPIO:0101409</v>
      </c>
      <c r="D1131" s="29" t="str">
        <f>IFERROR(__xludf.DUMMYFUNCTION("""COMPUTED_VALUE"""),"A gene that encodes the Ribonucleotide reductase small subunit protein (MPOX).")</f>
        <v>A gene that encodes the Ribonucleotide reductase small subunit protein (MPOX).</v>
      </c>
      <c r="H1131" s="52" t="s">
        <v>30</v>
      </c>
      <c r="I1131" s="52" t="s">
        <v>30</v>
      </c>
      <c r="J1131" s="52" t="s">
        <v>30</v>
      </c>
      <c r="K1131" s="52" t="str">
        <f t="shared" si="73"/>
        <v>International</v>
      </c>
      <c r="M1131" s="55"/>
    </row>
    <row r="1132">
      <c r="A1132" s="53"/>
      <c r="B1132" s="50" t="str">
        <f>IFERROR(__xludf.DUMMYFUNCTION("""COMPUTED_VALUE"""),"opg049 gene (MPOX)                    ")</f>
        <v>opg049 gene (MPOX)                    </v>
      </c>
      <c r="C1132" s="59" t="str">
        <f>IFERROR(__xludf.DUMMYFUNCTION("""COMPUTED_VALUE"""),"GENEPIO:0101410")</f>
        <v>GENEPIO:0101410</v>
      </c>
      <c r="D1132" s="29" t="str">
        <f>IFERROR(__xludf.DUMMYFUNCTION("""COMPUTED_VALUE"""),"A gene that encodes the Telomere-binding protein I6 (1) (MPOX).")</f>
        <v>A gene that encodes the Telomere-binding protein I6 (1) (MPOX).</v>
      </c>
      <c r="H1132" s="52" t="s">
        <v>30</v>
      </c>
      <c r="I1132" s="52" t="s">
        <v>30</v>
      </c>
      <c r="J1132" s="52" t="s">
        <v>30</v>
      </c>
      <c r="K1132" s="52" t="str">
        <f t="shared" si="73"/>
        <v>International</v>
      </c>
      <c r="M1132" s="55"/>
    </row>
    <row r="1133">
      <c r="A1133" s="53"/>
      <c r="B1133" s="50" t="str">
        <f>IFERROR(__xludf.DUMMYFUNCTION("""COMPUTED_VALUE"""),"opg050 gene (MPOX)                    ")</f>
        <v>opg050 gene (MPOX)                    </v>
      </c>
      <c r="C1133" s="59" t="str">
        <f>IFERROR(__xludf.DUMMYFUNCTION("""COMPUTED_VALUE"""),"GENEPIO:0101411")</f>
        <v>GENEPIO:0101411</v>
      </c>
      <c r="D1133" s="29" t="str">
        <f>IFERROR(__xludf.DUMMYFUNCTION("""COMPUTED_VALUE"""),"A gene that encodes the CPXV053 protein (MPOX).")</f>
        <v>A gene that encodes the CPXV053 protein (MPOX).</v>
      </c>
      <c r="H1133" s="52" t="s">
        <v>30</v>
      </c>
      <c r="I1133" s="52" t="s">
        <v>30</v>
      </c>
      <c r="J1133" s="52" t="s">
        <v>30</v>
      </c>
      <c r="K1133" s="52" t="str">
        <f t="shared" si="73"/>
        <v>International</v>
      </c>
      <c r="M1133" s="55"/>
    </row>
    <row r="1134">
      <c r="A1134" s="53"/>
      <c r="B1134" s="50" t="str">
        <f>IFERROR(__xludf.DUMMYFUNCTION("""COMPUTED_VALUE"""),"opg051 gene (MPOX)                    ")</f>
        <v>opg051 gene (MPOX)                    </v>
      </c>
      <c r="C1134" s="59" t="str">
        <f>IFERROR(__xludf.DUMMYFUNCTION("""COMPUTED_VALUE"""),"GENEPIO:0101412")</f>
        <v>GENEPIO:0101412</v>
      </c>
      <c r="D1134" s="29" t="str">
        <f>IFERROR(__xludf.DUMMYFUNCTION("""COMPUTED_VALUE"""),"A gene that encodes the CPXV054 protein (MPOX).")</f>
        <v>A gene that encodes the CPXV054 protein (MPOX).</v>
      </c>
      <c r="H1134" s="52" t="s">
        <v>30</v>
      </c>
      <c r="I1134" s="52" t="s">
        <v>30</v>
      </c>
      <c r="J1134" s="52" t="s">
        <v>30</v>
      </c>
      <c r="K1134" s="52" t="str">
        <f t="shared" si="73"/>
        <v>International</v>
      </c>
      <c r="M1134" s="55"/>
    </row>
    <row r="1135">
      <c r="A1135" s="53"/>
      <c r="B1135" s="50" t="str">
        <f>IFERROR(__xludf.DUMMYFUNCTION("""COMPUTED_VALUE"""),"opg052 gene (MPOX)                    ")</f>
        <v>opg052 gene (MPOX)                    </v>
      </c>
      <c r="C1135" s="59" t="str">
        <f>IFERROR(__xludf.DUMMYFUNCTION("""COMPUTED_VALUE"""),"GENEPIO:0101413")</f>
        <v>GENEPIO:0101413</v>
      </c>
      <c r="D1135" s="29" t="str">
        <f>IFERROR(__xludf.DUMMYFUNCTION("""COMPUTED_VALUE"""),"A gene that encodes the Cytoplasmic protein (MPOX).")</f>
        <v>A gene that encodes the Cytoplasmic protein (MPOX).</v>
      </c>
      <c r="H1135" s="52" t="s">
        <v>30</v>
      </c>
      <c r="I1135" s="52" t="s">
        <v>30</v>
      </c>
      <c r="J1135" s="52" t="s">
        <v>30</v>
      </c>
      <c r="K1135" s="52" t="str">
        <f t="shared" si="73"/>
        <v>International</v>
      </c>
      <c r="M1135" s="55"/>
    </row>
    <row r="1136">
      <c r="A1136" s="53"/>
      <c r="B1136" s="50" t="str">
        <f>IFERROR(__xludf.DUMMYFUNCTION("""COMPUTED_VALUE"""),"opg053 gene (MPOX)                    ")</f>
        <v>opg053 gene (MPOX)                    </v>
      </c>
      <c r="C1136" s="59" t="str">
        <f>IFERROR(__xludf.DUMMYFUNCTION("""COMPUTED_VALUE"""),"GENEPIO:0101414")</f>
        <v>GENEPIO:0101414</v>
      </c>
      <c r="D1136" s="29" t="str">
        <f>IFERROR(__xludf.DUMMYFUNCTION("""COMPUTED_VALUE"""),"A gene that encodes the IMV membrane protein L1R (MPOX).")</f>
        <v>A gene that encodes the IMV membrane protein L1R (MPOX).</v>
      </c>
      <c r="H1136" s="52" t="s">
        <v>30</v>
      </c>
      <c r="I1136" s="52" t="s">
        <v>30</v>
      </c>
      <c r="J1136" s="52" t="s">
        <v>30</v>
      </c>
      <c r="K1136" s="52" t="str">
        <f t="shared" si="73"/>
        <v>International</v>
      </c>
      <c r="M1136" s="55"/>
    </row>
    <row r="1137">
      <c r="A1137" s="53"/>
      <c r="B1137" s="50" t="str">
        <f>IFERROR(__xludf.DUMMYFUNCTION("""COMPUTED_VALUE"""),"opg054 gene (MPOX)                    ")</f>
        <v>opg054 gene (MPOX)                    </v>
      </c>
      <c r="C1137" s="59" t="str">
        <f>IFERROR(__xludf.DUMMYFUNCTION("""COMPUTED_VALUE"""),"GENEPIO:0101415")</f>
        <v>GENEPIO:0101415</v>
      </c>
      <c r="D1137" s="29" t="str">
        <f>IFERROR(__xludf.DUMMYFUNCTION("""COMPUTED_VALUE"""),"A gene that encodes the Serine/threonine-protein kinase (MPOX).")</f>
        <v>A gene that encodes the Serine/threonine-protein kinase (MPOX).</v>
      </c>
      <c r="H1137" s="52" t="s">
        <v>30</v>
      </c>
      <c r="I1137" s="52" t="s">
        <v>30</v>
      </c>
      <c r="J1137" s="52" t="s">
        <v>30</v>
      </c>
      <c r="K1137" s="52" t="str">
        <f t="shared" si="73"/>
        <v>International</v>
      </c>
      <c r="M1137" s="55"/>
    </row>
    <row r="1138">
      <c r="A1138" s="53"/>
      <c r="B1138" s="50" t="str">
        <f>IFERROR(__xludf.DUMMYFUNCTION("""COMPUTED_VALUE"""),"opg055 gene (MPOX)                    ")</f>
        <v>opg055 gene (MPOX)                    </v>
      </c>
      <c r="C1138" s="59" t="str">
        <f>IFERROR(__xludf.DUMMYFUNCTION("""COMPUTED_VALUE"""),"GENEPIO:0101416")</f>
        <v>GENEPIO:0101416</v>
      </c>
      <c r="D1138" s="29" t="str">
        <f>IFERROR(__xludf.DUMMYFUNCTION("""COMPUTED_VALUE"""),"A gene that encodes the Protein F11 protein (MPOX).")</f>
        <v>A gene that encodes the Protein F11 protein (MPOX).</v>
      </c>
      <c r="H1138" s="52" t="s">
        <v>30</v>
      </c>
      <c r="I1138" s="52" t="s">
        <v>30</v>
      </c>
      <c r="J1138" s="52" t="s">
        <v>30</v>
      </c>
      <c r="K1138" s="52" t="str">
        <f t="shared" si="73"/>
        <v>International</v>
      </c>
      <c r="M1138" s="55"/>
    </row>
    <row r="1139">
      <c r="A1139" s="53"/>
      <c r="B1139" s="50" t="str">
        <f>IFERROR(__xludf.DUMMYFUNCTION("""COMPUTED_VALUE"""),"opg056 gene (MPOX)                    ")</f>
        <v>opg056 gene (MPOX)                    </v>
      </c>
      <c r="C1139" s="59" t="str">
        <f>IFERROR(__xludf.DUMMYFUNCTION("""COMPUTED_VALUE"""),"GENEPIO:0101417")</f>
        <v>GENEPIO:0101417</v>
      </c>
      <c r="D1139" s="29" t="str">
        <f>IFERROR(__xludf.DUMMYFUNCTION("""COMPUTED_VALUE"""),"A gene that encodes the EEV maturation protein (MPOX).")</f>
        <v>A gene that encodes the EEV maturation protein (MPOX).</v>
      </c>
      <c r="H1139" s="52" t="s">
        <v>30</v>
      </c>
      <c r="I1139" s="52" t="s">
        <v>30</v>
      </c>
      <c r="J1139" s="52" t="s">
        <v>30</v>
      </c>
      <c r="K1139" s="52" t="str">
        <f t="shared" si="73"/>
        <v>International</v>
      </c>
      <c r="M1139" s="55"/>
    </row>
    <row r="1140">
      <c r="A1140" s="53"/>
      <c r="B1140" s="50" t="str">
        <f>IFERROR(__xludf.DUMMYFUNCTION("""COMPUTED_VALUE"""),"opg057 gene (MPOX)                    ")</f>
        <v>opg057 gene (MPOX)                    </v>
      </c>
      <c r="C1140" s="59" t="str">
        <f>IFERROR(__xludf.DUMMYFUNCTION("""COMPUTED_VALUE"""),"GENEPIO:0101418")</f>
        <v>GENEPIO:0101418</v>
      </c>
      <c r="D1140" s="29" t="str">
        <f>IFERROR(__xludf.DUMMYFUNCTION("""COMPUTED_VALUE"""),"A gene that encodes the Palmytilated EEV membrane protein (MPOX).")</f>
        <v>A gene that encodes the Palmytilated EEV membrane protein (MPOX).</v>
      </c>
      <c r="H1140" s="52" t="s">
        <v>30</v>
      </c>
      <c r="I1140" s="52" t="s">
        <v>30</v>
      </c>
      <c r="J1140" s="52" t="s">
        <v>30</v>
      </c>
      <c r="K1140" s="52" t="str">
        <f t="shared" si="73"/>
        <v>International</v>
      </c>
      <c r="M1140" s="55"/>
    </row>
    <row r="1141">
      <c r="A1141" s="53"/>
      <c r="B1141" s="50" t="str">
        <f>IFERROR(__xludf.DUMMYFUNCTION("""COMPUTED_VALUE"""),"opg058 gene (MPOX)                    ")</f>
        <v>opg058 gene (MPOX)                    </v>
      </c>
      <c r="C1141" s="59" t="str">
        <f>IFERROR(__xludf.DUMMYFUNCTION("""COMPUTED_VALUE"""),"GENEPIO:0101419")</f>
        <v>GENEPIO:0101419</v>
      </c>
      <c r="D1141" s="29" t="str">
        <f>IFERROR(__xludf.DUMMYFUNCTION("""COMPUTED_VALUE"""),"A gene that encodes the Protein F14 (1) protein (MPOX).")</f>
        <v>A gene that encodes the Protein F14 (1) protein (MPOX).</v>
      </c>
      <c r="H1141" s="52" t="s">
        <v>30</v>
      </c>
      <c r="I1141" s="52" t="s">
        <v>30</v>
      </c>
      <c r="J1141" s="52" t="s">
        <v>30</v>
      </c>
      <c r="K1141" s="52" t="str">
        <f t="shared" si="73"/>
        <v>International</v>
      </c>
      <c r="M1141" s="55"/>
    </row>
    <row r="1142">
      <c r="A1142" s="53"/>
      <c r="B1142" s="50" t="str">
        <f>IFERROR(__xludf.DUMMYFUNCTION("""COMPUTED_VALUE"""),"opg059 gene (MPOX)                    ")</f>
        <v>opg059 gene (MPOX)                    </v>
      </c>
      <c r="C1142" s="59" t="str">
        <f>IFERROR(__xludf.DUMMYFUNCTION("""COMPUTED_VALUE"""),"GENEPIO:0101420")</f>
        <v>GENEPIO:0101420</v>
      </c>
      <c r="D1142" s="29" t="str">
        <f>IFERROR(__xludf.DUMMYFUNCTION("""COMPUTED_VALUE"""),"A gene that encodes the Cytochrome C oxidase protein (MPOX).")</f>
        <v>A gene that encodes the Cytochrome C oxidase protein (MPOX).</v>
      </c>
      <c r="H1142" s="52" t="s">
        <v>30</v>
      </c>
      <c r="I1142" s="52" t="s">
        <v>30</v>
      </c>
      <c r="J1142" s="52" t="s">
        <v>30</v>
      </c>
      <c r="K1142" s="52" t="str">
        <f t="shared" si="73"/>
        <v>International</v>
      </c>
      <c r="M1142" s="55"/>
    </row>
    <row r="1143">
      <c r="A1143" s="53"/>
      <c r="B1143" s="50" t="str">
        <f>IFERROR(__xludf.DUMMYFUNCTION("""COMPUTED_VALUE"""),"opg060 gene (MPOX)                    ")</f>
        <v>opg060 gene (MPOX)                    </v>
      </c>
      <c r="C1143" s="59" t="str">
        <f>IFERROR(__xludf.DUMMYFUNCTION("""COMPUTED_VALUE"""),"GENEPIO:0101421")</f>
        <v>GENEPIO:0101421</v>
      </c>
      <c r="D1143" s="29" t="str">
        <f>IFERROR(__xludf.DUMMYFUNCTION("""COMPUTED_VALUE"""),"A gene that encodes the Protein F15 protein (MPOX).")</f>
        <v>A gene that encodes the Protein F15 protein (MPOX).</v>
      </c>
      <c r="H1143" s="52" t="s">
        <v>30</v>
      </c>
      <c r="I1143" s="52" t="s">
        <v>30</v>
      </c>
      <c r="J1143" s="52" t="s">
        <v>30</v>
      </c>
      <c r="K1143" s="52" t="str">
        <f t="shared" si="73"/>
        <v>International</v>
      </c>
      <c r="M1143" s="55"/>
    </row>
    <row r="1144">
      <c r="A1144" s="53"/>
      <c r="B1144" s="50" t="str">
        <f>IFERROR(__xludf.DUMMYFUNCTION("""COMPUTED_VALUE"""),"opg061 gene (MPOX)                    ")</f>
        <v>opg061 gene (MPOX)                    </v>
      </c>
      <c r="C1144" s="59" t="str">
        <f>IFERROR(__xludf.DUMMYFUNCTION("""COMPUTED_VALUE"""),"GENEPIO:0101422")</f>
        <v>GENEPIO:0101422</v>
      </c>
      <c r="D1144" s="29" t="str">
        <f>IFERROR(__xludf.DUMMYFUNCTION("""COMPUTED_VALUE"""),"A gene that encodes the Protein F16 (1) protein (MPOX).")</f>
        <v>A gene that encodes the Protein F16 (1) protein (MPOX).</v>
      </c>
      <c r="H1144" s="52" t="s">
        <v>30</v>
      </c>
      <c r="I1144" s="52" t="s">
        <v>30</v>
      </c>
      <c r="J1144" s="52" t="s">
        <v>30</v>
      </c>
      <c r="K1144" s="52" t="str">
        <f t="shared" si="73"/>
        <v>International</v>
      </c>
      <c r="M1144" s="55"/>
    </row>
    <row r="1145">
      <c r="A1145" s="53"/>
      <c r="B1145" s="50" t="str">
        <f>IFERROR(__xludf.DUMMYFUNCTION("""COMPUTED_VALUE"""),"opg062 gene (MPOX)                    ")</f>
        <v>opg062 gene (MPOX)                    </v>
      </c>
      <c r="C1145" s="59" t="str">
        <f>IFERROR(__xludf.DUMMYFUNCTION("""COMPUTED_VALUE"""),"GENEPIO:0101423")</f>
        <v>GENEPIO:0101423</v>
      </c>
      <c r="D1145" s="29" t="str">
        <f>IFERROR(__xludf.DUMMYFUNCTION("""COMPUTED_VALUE"""),"A gene that encodes the DNA-binding phosphoprotein (1) (MPOX).")</f>
        <v>A gene that encodes the DNA-binding phosphoprotein (1) (MPOX).</v>
      </c>
      <c r="H1145" s="52" t="s">
        <v>30</v>
      </c>
      <c r="I1145" s="52" t="s">
        <v>30</v>
      </c>
      <c r="J1145" s="52" t="s">
        <v>30</v>
      </c>
      <c r="K1145" s="52" t="str">
        <f t="shared" si="73"/>
        <v>International</v>
      </c>
      <c r="M1145" s="55"/>
    </row>
    <row r="1146">
      <c r="A1146" s="53"/>
      <c r="B1146" s="50" t="str">
        <f>IFERROR(__xludf.DUMMYFUNCTION("""COMPUTED_VALUE"""),"opg063 gene (MPOX)                    ")</f>
        <v>opg063 gene (MPOX)                    </v>
      </c>
      <c r="C1146" s="59" t="str">
        <f>IFERROR(__xludf.DUMMYFUNCTION("""COMPUTED_VALUE"""),"GENEPIO:0101424")</f>
        <v>GENEPIO:0101424</v>
      </c>
      <c r="D1146" s="29" t="str">
        <f>IFERROR(__xludf.DUMMYFUNCTION("""COMPUTED_VALUE"""),"A gene that encodes the Poly(A) polymerase catalytic subunit (3) protein (MPOX).")</f>
        <v>A gene that encodes the Poly(A) polymerase catalytic subunit (3) protein (MPOX).</v>
      </c>
      <c r="H1146" s="52" t="s">
        <v>30</v>
      </c>
      <c r="I1146" s="52" t="s">
        <v>30</v>
      </c>
      <c r="J1146" s="52" t="s">
        <v>30</v>
      </c>
      <c r="K1146" s="52" t="str">
        <f t="shared" si="73"/>
        <v>International</v>
      </c>
      <c r="M1146" s="55"/>
    </row>
    <row r="1147">
      <c r="A1147" s="53"/>
      <c r="B1147" s="50" t="str">
        <f>IFERROR(__xludf.DUMMYFUNCTION("""COMPUTED_VALUE"""),"opg064 gene (MPOX)                    ")</f>
        <v>opg064 gene (MPOX)                    </v>
      </c>
      <c r="C1147" s="59" t="str">
        <f>IFERROR(__xludf.DUMMYFUNCTION("""COMPUTED_VALUE"""),"GENEPIO:0101425")</f>
        <v>GENEPIO:0101425</v>
      </c>
      <c r="D1147" s="29" t="str">
        <f>IFERROR(__xludf.DUMMYFUNCTION("""COMPUTED_VALUE"""),"A gene that encodes the Iev morphogenesis protein (MPOX).")</f>
        <v>A gene that encodes the Iev morphogenesis protein (MPOX).</v>
      </c>
      <c r="H1147" s="52" t="s">
        <v>30</v>
      </c>
      <c r="I1147" s="52" t="s">
        <v>30</v>
      </c>
      <c r="J1147" s="52" t="s">
        <v>30</v>
      </c>
      <c r="K1147" s="52" t="str">
        <f t="shared" si="73"/>
        <v>International</v>
      </c>
      <c r="M1147" s="55"/>
    </row>
    <row r="1148">
      <c r="A1148" s="53"/>
      <c r="B1148" s="50" t="str">
        <f>IFERROR(__xludf.DUMMYFUNCTION("""COMPUTED_VALUE"""),"opg065 gene (MPOX)                    ")</f>
        <v>opg065 gene (MPOX)                    </v>
      </c>
      <c r="C1148" s="59" t="str">
        <f>IFERROR(__xludf.DUMMYFUNCTION("""COMPUTED_VALUE"""),"GENEPIO:0101426")</f>
        <v>GENEPIO:0101426</v>
      </c>
      <c r="D1148" s="29" t="str">
        <f>IFERROR(__xludf.DUMMYFUNCTION("""COMPUTED_VALUE"""),"A gene that encodes the Double-stranded RNA binding protein (MPOX).")</f>
        <v>A gene that encodes the Double-stranded RNA binding protein (MPOX).</v>
      </c>
      <c r="H1148" s="52" t="s">
        <v>30</v>
      </c>
      <c r="I1148" s="52" t="s">
        <v>30</v>
      </c>
      <c r="J1148" s="52" t="s">
        <v>30</v>
      </c>
      <c r="K1148" s="52" t="str">
        <f t="shared" si="73"/>
        <v>International</v>
      </c>
      <c r="M1148" s="55"/>
    </row>
    <row r="1149">
      <c r="A1149" s="53"/>
      <c r="B1149" s="50" t="str">
        <f>IFERROR(__xludf.DUMMYFUNCTION("""COMPUTED_VALUE"""),"opg066 gene (MPOX)                    ")</f>
        <v>opg066 gene (MPOX)                    </v>
      </c>
      <c r="C1149" s="59" t="str">
        <f>IFERROR(__xludf.DUMMYFUNCTION("""COMPUTED_VALUE"""),"GENEPIO:0101427")</f>
        <v>GENEPIO:0101427</v>
      </c>
      <c r="D1149" s="29" t="str">
        <f>IFERROR(__xludf.DUMMYFUNCTION("""COMPUTED_VALUE"""),"A gene that encodes the DNA-directed RNA polymerase 30 kDa polypeptide protein (MPOX).")</f>
        <v>A gene that encodes the DNA-directed RNA polymerase 30 kDa polypeptide protein (MPOX).</v>
      </c>
      <c r="H1149" s="52" t="s">
        <v>30</v>
      </c>
      <c r="I1149" s="52" t="s">
        <v>30</v>
      </c>
      <c r="J1149" s="52" t="s">
        <v>30</v>
      </c>
      <c r="K1149" s="52" t="str">
        <f t="shared" si="73"/>
        <v>International</v>
      </c>
      <c r="M1149" s="55"/>
    </row>
    <row r="1150">
      <c r="A1150" s="53"/>
      <c r="B1150" s="50" t="str">
        <f>IFERROR(__xludf.DUMMYFUNCTION("""COMPUTED_VALUE"""),"opg068 gene (MPOX)                    ")</f>
        <v>opg068 gene (MPOX)                    </v>
      </c>
      <c r="C1150" s="59" t="str">
        <f>IFERROR(__xludf.DUMMYFUNCTION("""COMPUTED_VALUE"""),"GENEPIO:0101428")</f>
        <v>GENEPIO:0101428</v>
      </c>
      <c r="D1150" s="29" t="str">
        <f>IFERROR(__xludf.DUMMYFUNCTION("""COMPUTED_VALUE"""),"A gene that encodes the IMV membrane protein E6 (MPOX).")</f>
        <v>A gene that encodes the IMV membrane protein E6 (MPOX).</v>
      </c>
      <c r="H1150" s="52" t="s">
        <v>30</v>
      </c>
      <c r="I1150" s="52" t="s">
        <v>30</v>
      </c>
      <c r="J1150" s="52" t="s">
        <v>30</v>
      </c>
      <c r="K1150" s="52" t="str">
        <f t="shared" si="73"/>
        <v>International</v>
      </c>
      <c r="M1150" s="55"/>
    </row>
    <row r="1151">
      <c r="A1151" s="53"/>
      <c r="B1151" s="50" t="str">
        <f>IFERROR(__xludf.DUMMYFUNCTION("""COMPUTED_VALUE"""),"opg069 gene (MPOX)                    ")</f>
        <v>opg069 gene (MPOX)                    </v>
      </c>
      <c r="C1151" s="59" t="str">
        <f>IFERROR(__xludf.DUMMYFUNCTION("""COMPUTED_VALUE"""),"GENEPIO:0101429")</f>
        <v>GENEPIO:0101429</v>
      </c>
      <c r="D1151" s="29" t="str">
        <f>IFERROR(__xludf.DUMMYFUNCTION("""COMPUTED_VALUE"""),"A gene that encodes the Myristoylated protein E7 (MPOX).")</f>
        <v>A gene that encodes the Myristoylated protein E7 (MPOX).</v>
      </c>
      <c r="H1151" s="52" t="s">
        <v>30</v>
      </c>
      <c r="I1151" s="52" t="s">
        <v>30</v>
      </c>
      <c r="J1151" s="52" t="s">
        <v>30</v>
      </c>
      <c r="K1151" s="52" t="str">
        <f t="shared" si="73"/>
        <v>International</v>
      </c>
      <c r="M1151" s="55"/>
    </row>
    <row r="1152">
      <c r="A1152" s="53"/>
      <c r="B1152" s="50" t="str">
        <f>IFERROR(__xludf.DUMMYFUNCTION("""COMPUTED_VALUE"""),"opg070 gene (MPOX)                    ")</f>
        <v>opg070 gene (MPOX)                    </v>
      </c>
      <c r="C1152" s="59" t="str">
        <f>IFERROR(__xludf.DUMMYFUNCTION("""COMPUTED_VALUE"""),"GENEPIO:0101430")</f>
        <v>GENEPIO:0101430</v>
      </c>
      <c r="D1152" s="29" t="str">
        <f>IFERROR(__xludf.DUMMYFUNCTION("""COMPUTED_VALUE"""),"A gene that encodes the Membrane protein E8 (MPOX).")</f>
        <v>A gene that encodes the Membrane protein E8 (MPOX).</v>
      </c>
      <c r="H1152" s="52" t="s">
        <v>30</v>
      </c>
      <c r="I1152" s="52" t="s">
        <v>30</v>
      </c>
      <c r="J1152" s="52" t="s">
        <v>30</v>
      </c>
      <c r="K1152" s="52" t="str">
        <f t="shared" si="73"/>
        <v>International</v>
      </c>
      <c r="M1152" s="55"/>
    </row>
    <row r="1153">
      <c r="A1153" s="53"/>
      <c r="B1153" s="50" t="str">
        <f>IFERROR(__xludf.DUMMYFUNCTION("""COMPUTED_VALUE"""),"opg071 gene (MPOX)                    ")</f>
        <v>opg071 gene (MPOX)                    </v>
      </c>
      <c r="C1153" s="59" t="str">
        <f>IFERROR(__xludf.DUMMYFUNCTION("""COMPUTED_VALUE"""),"GENEPIO:0101431")</f>
        <v>GENEPIO:0101431</v>
      </c>
      <c r="D1153" s="29" t="str">
        <f>IFERROR(__xludf.DUMMYFUNCTION("""COMPUTED_VALUE"""),"A gene that encodes the DNA polymerase (2) protein (MPOX).")</f>
        <v>A gene that encodes the DNA polymerase (2) protein (MPOX).</v>
      </c>
      <c r="H1153" s="52" t="s">
        <v>30</v>
      </c>
      <c r="I1153" s="52" t="s">
        <v>30</v>
      </c>
      <c r="J1153" s="52" t="s">
        <v>30</v>
      </c>
      <c r="K1153" s="52" t="str">
        <f t="shared" si="73"/>
        <v>International</v>
      </c>
      <c r="M1153" s="55"/>
    </row>
    <row r="1154">
      <c r="A1154" s="53"/>
      <c r="B1154" s="50" t="str">
        <f>IFERROR(__xludf.DUMMYFUNCTION("""COMPUTED_VALUE"""),"opg072 gene (MPOX)                    ")</f>
        <v>opg072 gene (MPOX)                    </v>
      </c>
      <c r="C1154" s="59" t="str">
        <f>IFERROR(__xludf.DUMMYFUNCTION("""COMPUTED_VALUE"""),"GENEPIO:0101432")</f>
        <v>GENEPIO:0101432</v>
      </c>
      <c r="D1154" s="29" t="str">
        <f>IFERROR(__xludf.DUMMYFUNCTION("""COMPUTED_VALUE"""),"A gene that encodes the Sulfhydryl oxidase protein (MPOX).")</f>
        <v>A gene that encodes the Sulfhydryl oxidase protein (MPOX).</v>
      </c>
      <c r="H1154" s="52" t="s">
        <v>30</v>
      </c>
      <c r="I1154" s="52" t="s">
        <v>30</v>
      </c>
      <c r="J1154" s="52" t="s">
        <v>30</v>
      </c>
      <c r="K1154" s="52" t="str">
        <f t="shared" si="73"/>
        <v>International</v>
      </c>
      <c r="M1154" s="55"/>
    </row>
    <row r="1155">
      <c r="A1155" s="53"/>
      <c r="B1155" s="50" t="str">
        <f>IFERROR(__xludf.DUMMYFUNCTION("""COMPUTED_VALUE"""),"opg073 gene (MPOX)                    ")</f>
        <v>opg073 gene (MPOX)                    </v>
      </c>
      <c r="C1155" s="59" t="str">
        <f>IFERROR(__xludf.DUMMYFUNCTION("""COMPUTED_VALUE"""),"GENEPIO:0101433")</f>
        <v>GENEPIO:0101433</v>
      </c>
      <c r="D1155" s="29" t="str">
        <f>IFERROR(__xludf.DUMMYFUNCTION("""COMPUTED_VALUE"""),"A gene that encodes the Virion core protein E11 (MPOX).")</f>
        <v>A gene that encodes the Virion core protein E11 (MPOX).</v>
      </c>
      <c r="H1155" s="52" t="s">
        <v>30</v>
      </c>
      <c r="I1155" s="52" t="s">
        <v>30</v>
      </c>
      <c r="J1155" s="52" t="s">
        <v>30</v>
      </c>
      <c r="K1155" s="52" t="str">
        <f t="shared" si="73"/>
        <v>International</v>
      </c>
      <c r="M1155" s="55"/>
    </row>
    <row r="1156">
      <c r="A1156" s="53"/>
      <c r="B1156" s="50" t="str">
        <f>IFERROR(__xludf.DUMMYFUNCTION("""COMPUTED_VALUE"""),"opg074 gene (MPOX)                    ")</f>
        <v>opg074 gene (MPOX)                    </v>
      </c>
      <c r="C1156" s="59" t="str">
        <f>IFERROR(__xludf.DUMMYFUNCTION("""COMPUTED_VALUE"""),"GENEPIO:0101434")</f>
        <v>GENEPIO:0101434</v>
      </c>
      <c r="D1156" s="29" t="str">
        <f>IFERROR(__xludf.DUMMYFUNCTION("""COMPUTED_VALUE"""),"A gene that encodes the Iev morphogenesis protein (MPOX).")</f>
        <v>A gene that encodes the Iev morphogenesis protein (MPOX).</v>
      </c>
      <c r="H1156" s="52" t="s">
        <v>30</v>
      </c>
      <c r="I1156" s="52" t="s">
        <v>30</v>
      </c>
      <c r="J1156" s="52" t="s">
        <v>30</v>
      </c>
      <c r="K1156" s="52" t="str">
        <f t="shared" si="73"/>
        <v>International</v>
      </c>
      <c r="M1156" s="55"/>
    </row>
    <row r="1157">
      <c r="A1157" s="53"/>
      <c r="B1157" s="50" t="str">
        <f>IFERROR(__xludf.DUMMYFUNCTION("""COMPUTED_VALUE"""),"opg075 gene (MPOX)                    ")</f>
        <v>opg075 gene (MPOX)                    </v>
      </c>
      <c r="C1157" s="59" t="str">
        <f>IFERROR(__xludf.DUMMYFUNCTION("""COMPUTED_VALUE"""),"GENEPIO:0101435")</f>
        <v>GENEPIO:0101435</v>
      </c>
      <c r="D1157" s="29" t="str">
        <f>IFERROR(__xludf.DUMMYFUNCTION("""COMPUTED_VALUE"""),"A gene that encodes the Glutaredoxin-1 protein (MPOX).")</f>
        <v>A gene that encodes the Glutaredoxin-1 protein (MPOX).</v>
      </c>
      <c r="H1157" s="52" t="s">
        <v>30</v>
      </c>
      <c r="I1157" s="52" t="s">
        <v>30</v>
      </c>
      <c r="J1157" s="52" t="s">
        <v>30</v>
      </c>
      <c r="K1157" s="52" t="str">
        <f t="shared" si="73"/>
        <v>International</v>
      </c>
      <c r="M1157" s="55"/>
    </row>
    <row r="1158">
      <c r="A1158" s="53"/>
      <c r="B1158" s="50" t="str">
        <f>IFERROR(__xludf.DUMMYFUNCTION("""COMPUTED_VALUE"""),"opg077 gene (MPOX)                    ")</f>
        <v>opg077 gene (MPOX)                    </v>
      </c>
      <c r="C1158" s="59" t="str">
        <f>IFERROR(__xludf.DUMMYFUNCTION("""COMPUTED_VALUE"""),"GENEPIO:0101437")</f>
        <v>GENEPIO:0101437</v>
      </c>
      <c r="D1158" s="29" t="str">
        <f>IFERROR(__xludf.DUMMYFUNCTION("""COMPUTED_VALUE"""),"A gene that encodes the Telomere-binding protein I1 (MPOX).")</f>
        <v>A gene that encodes the Telomere-binding protein I1 (MPOX).</v>
      </c>
      <c r="H1158" s="52" t="s">
        <v>30</v>
      </c>
      <c r="I1158" s="52" t="s">
        <v>30</v>
      </c>
      <c r="J1158" s="52" t="s">
        <v>30</v>
      </c>
      <c r="K1158" s="52" t="str">
        <f t="shared" si="73"/>
        <v>International</v>
      </c>
      <c r="M1158" s="55"/>
    </row>
    <row r="1159">
      <c r="A1159" s="53"/>
      <c r="B1159" s="50" t="str">
        <f>IFERROR(__xludf.DUMMYFUNCTION("""COMPUTED_VALUE"""),"opg078 gene (MPOX)                    ")</f>
        <v>opg078 gene (MPOX)                    </v>
      </c>
      <c r="C1159" s="59" t="str">
        <f>IFERROR(__xludf.DUMMYFUNCTION("""COMPUTED_VALUE"""),"GENEPIO:0101438")</f>
        <v>GENEPIO:0101438</v>
      </c>
      <c r="D1159" s="29" t="str">
        <f>IFERROR(__xludf.DUMMYFUNCTION("""COMPUTED_VALUE"""),"A gene that encodes the IMV membrane protein I2 (MPOX).")</f>
        <v>A gene that encodes the IMV membrane protein I2 (MPOX).</v>
      </c>
      <c r="H1159" s="52" t="s">
        <v>30</v>
      </c>
      <c r="I1159" s="52" t="s">
        <v>30</v>
      </c>
      <c r="J1159" s="52" t="s">
        <v>30</v>
      </c>
      <c r="K1159" s="52" t="str">
        <f t="shared" si="73"/>
        <v>International</v>
      </c>
      <c r="M1159" s="55"/>
    </row>
    <row r="1160">
      <c r="A1160" s="53"/>
      <c r="B1160" s="50" t="str">
        <f>IFERROR(__xludf.DUMMYFUNCTION("""COMPUTED_VALUE"""),"opg079 gene (MPOX)                    ")</f>
        <v>opg079 gene (MPOX)                    </v>
      </c>
      <c r="C1160" s="59" t="str">
        <f>IFERROR(__xludf.DUMMYFUNCTION("""COMPUTED_VALUE"""),"GENEPIO:0101439")</f>
        <v>GENEPIO:0101439</v>
      </c>
      <c r="D1160" s="29" t="str">
        <f>IFERROR(__xludf.DUMMYFUNCTION("""COMPUTED_VALUE"""),"A gene that encodes the DNA-binding phosphoprotein (2) (MPOX).")</f>
        <v>A gene that encodes the DNA-binding phosphoprotein (2) (MPOX).</v>
      </c>
      <c r="H1160" s="52" t="s">
        <v>30</v>
      </c>
      <c r="I1160" s="52" t="s">
        <v>30</v>
      </c>
      <c r="J1160" s="52" t="s">
        <v>30</v>
      </c>
      <c r="K1160" s="52" t="str">
        <f t="shared" si="73"/>
        <v>International</v>
      </c>
      <c r="M1160" s="55"/>
    </row>
    <row r="1161">
      <c r="A1161" s="53"/>
      <c r="B1161" s="50" t="str">
        <f>IFERROR(__xludf.DUMMYFUNCTION("""COMPUTED_VALUE"""),"opg080 gene (MPOX)                    ")</f>
        <v>opg080 gene (MPOX)                    </v>
      </c>
      <c r="C1161" s="59" t="str">
        <f>IFERROR(__xludf.DUMMYFUNCTION("""COMPUTED_VALUE"""),"GENEPIO:0101440")</f>
        <v>GENEPIO:0101440</v>
      </c>
      <c r="D1161" s="29" t="str">
        <f>IFERROR(__xludf.DUMMYFUNCTION("""COMPUTED_VALUE"""),"A gene that encodes the Ribonucleoside-diphosphate reductase (2) protein (MPOX).")</f>
        <v>A gene that encodes the Ribonucleoside-diphosphate reductase (2) protein (MPOX).</v>
      </c>
      <c r="H1161" s="52" t="s">
        <v>30</v>
      </c>
      <c r="I1161" s="52" t="s">
        <v>30</v>
      </c>
      <c r="J1161" s="52" t="s">
        <v>30</v>
      </c>
      <c r="K1161" s="52" t="str">
        <f t="shared" si="73"/>
        <v>International</v>
      </c>
      <c r="M1161" s="55"/>
    </row>
    <row r="1162">
      <c r="A1162" s="53"/>
      <c r="B1162" s="50" t="str">
        <f>IFERROR(__xludf.DUMMYFUNCTION("""COMPUTED_VALUE"""),"opg081 gene (MPOX)                    ")</f>
        <v>opg081 gene (MPOX)                    </v>
      </c>
      <c r="C1162" s="59" t="str">
        <f>IFERROR(__xludf.DUMMYFUNCTION("""COMPUTED_VALUE"""),"GENEPIO:0101441")</f>
        <v>GENEPIO:0101441</v>
      </c>
      <c r="D1162" s="29" t="str">
        <f>IFERROR(__xludf.DUMMYFUNCTION("""COMPUTED_VALUE"""),"A gene that encodes the IMV membrane protein I5 (MPOX).")</f>
        <v>A gene that encodes the IMV membrane protein I5 (MPOX).</v>
      </c>
      <c r="H1162" s="52" t="s">
        <v>30</v>
      </c>
      <c r="I1162" s="52" t="s">
        <v>30</v>
      </c>
      <c r="J1162" s="52" t="s">
        <v>30</v>
      </c>
      <c r="K1162" s="52" t="str">
        <f t="shared" si="73"/>
        <v>International</v>
      </c>
      <c r="M1162" s="55"/>
    </row>
    <row r="1163">
      <c r="A1163" s="53"/>
      <c r="B1163" s="50" t="str">
        <f>IFERROR(__xludf.DUMMYFUNCTION("""COMPUTED_VALUE"""),"opg082 gene (MPOX)                    ")</f>
        <v>opg082 gene (MPOX)                    </v>
      </c>
      <c r="C1163" s="59" t="str">
        <f>IFERROR(__xludf.DUMMYFUNCTION("""COMPUTED_VALUE"""),"GENEPIO:0101442")</f>
        <v>GENEPIO:0101442</v>
      </c>
      <c r="D1163" s="29" t="str">
        <f>IFERROR(__xludf.DUMMYFUNCTION("""COMPUTED_VALUE"""),"A gene that encodes the Telomere-binding protein (MPOX).")</f>
        <v>A gene that encodes the Telomere-binding protein (MPOX).</v>
      </c>
      <c r="H1163" s="52" t="s">
        <v>30</v>
      </c>
      <c r="I1163" s="52" t="s">
        <v>30</v>
      </c>
      <c r="J1163" s="52" t="s">
        <v>30</v>
      </c>
      <c r="K1163" s="52" t="str">
        <f t="shared" si="73"/>
        <v>International</v>
      </c>
      <c r="M1163" s="55"/>
    </row>
    <row r="1164">
      <c r="A1164" s="53"/>
      <c r="B1164" s="50" t="str">
        <f>IFERROR(__xludf.DUMMYFUNCTION("""COMPUTED_VALUE"""),"opg083 gene (MPOX)                    ")</f>
        <v>opg083 gene (MPOX)                    </v>
      </c>
      <c r="C1164" s="59" t="str">
        <f>IFERROR(__xludf.DUMMYFUNCTION("""COMPUTED_VALUE"""),"GENEPIO:0101443")</f>
        <v>GENEPIO:0101443</v>
      </c>
      <c r="D1164" s="29" t="str">
        <f>IFERROR(__xludf.DUMMYFUNCTION("""COMPUTED_VALUE"""),"A gene that encodes the Viral core cysteine proteinase (MPOX).")</f>
        <v>A gene that encodes the Viral core cysteine proteinase (MPOX).</v>
      </c>
      <c r="H1164" s="52" t="s">
        <v>30</v>
      </c>
      <c r="I1164" s="52" t="s">
        <v>30</v>
      </c>
      <c r="J1164" s="52" t="s">
        <v>30</v>
      </c>
      <c r="K1164" s="52" t="str">
        <f t="shared" si="73"/>
        <v>International</v>
      </c>
      <c r="M1164" s="55"/>
    </row>
    <row r="1165">
      <c r="A1165" s="53"/>
      <c r="B1165" s="50" t="str">
        <f>IFERROR(__xludf.DUMMYFUNCTION("""COMPUTED_VALUE"""),"opg084 gene (MPOX)                    ")</f>
        <v>opg084 gene (MPOX)                    </v>
      </c>
      <c r="C1165" s="59" t="str">
        <f>IFERROR(__xludf.DUMMYFUNCTION("""COMPUTED_VALUE"""),"GENEPIO:0101444")</f>
        <v>GENEPIO:0101444</v>
      </c>
      <c r="D1165" s="29" t="str">
        <f>IFERROR(__xludf.DUMMYFUNCTION("""COMPUTED_VALUE"""),"A gene that encodes the RNA helicase NPH-II (2) protein (MPOX).")</f>
        <v>A gene that encodes the RNA helicase NPH-II (2) protein (MPOX).</v>
      </c>
      <c r="H1165" s="52" t="s">
        <v>30</v>
      </c>
      <c r="I1165" s="52" t="s">
        <v>30</v>
      </c>
      <c r="J1165" s="52" t="s">
        <v>30</v>
      </c>
      <c r="K1165" s="52" t="str">
        <f t="shared" si="73"/>
        <v>International</v>
      </c>
      <c r="M1165" s="55"/>
    </row>
    <row r="1166">
      <c r="A1166" s="53"/>
      <c r="B1166" s="50" t="str">
        <f>IFERROR(__xludf.DUMMYFUNCTION("""COMPUTED_VALUE"""),"opg085 gene (MPOX)                    ")</f>
        <v>opg085 gene (MPOX)                    </v>
      </c>
      <c r="C1166" s="59" t="str">
        <f>IFERROR(__xludf.DUMMYFUNCTION("""COMPUTED_VALUE"""),"GENEPIO:0101445")</f>
        <v>GENEPIO:0101445</v>
      </c>
      <c r="D1166" s="29" t="str">
        <f>IFERROR(__xludf.DUMMYFUNCTION("""COMPUTED_VALUE"""),"A gene that encodes the Metalloendopeptidase protein (MPOX).")</f>
        <v>A gene that encodes the Metalloendopeptidase protein (MPOX).</v>
      </c>
      <c r="H1166" s="52" t="s">
        <v>30</v>
      </c>
      <c r="I1166" s="52" t="s">
        <v>30</v>
      </c>
      <c r="J1166" s="52" t="s">
        <v>30</v>
      </c>
      <c r="K1166" s="52" t="str">
        <f t="shared" si="73"/>
        <v>International</v>
      </c>
      <c r="M1166" s="55"/>
    </row>
    <row r="1167">
      <c r="A1167" s="53"/>
      <c r="B1167" s="50" t="str">
        <f>IFERROR(__xludf.DUMMYFUNCTION("""COMPUTED_VALUE"""),"opg086 gene (MPOX)                    ")</f>
        <v>opg086 gene (MPOX)                    </v>
      </c>
      <c r="C1167" s="59" t="str">
        <f>IFERROR(__xludf.DUMMYFUNCTION("""COMPUTED_VALUE"""),"GENEPIO:0101446")</f>
        <v>GENEPIO:0101446</v>
      </c>
      <c r="D1167" s="29" t="str">
        <f>IFERROR(__xludf.DUMMYFUNCTION("""COMPUTED_VALUE"""),"A gene that encodes the Entry/fusion complex component protein (MPOX).")</f>
        <v>A gene that encodes the Entry/fusion complex component protein (MPOX).</v>
      </c>
      <c r="H1167" s="52" t="s">
        <v>30</v>
      </c>
      <c r="I1167" s="52" t="s">
        <v>30</v>
      </c>
      <c r="J1167" s="52" t="s">
        <v>30</v>
      </c>
      <c r="K1167" s="52" t="str">
        <f t="shared" si="73"/>
        <v>International</v>
      </c>
      <c r="M1167" s="55"/>
    </row>
    <row r="1168">
      <c r="A1168" s="53"/>
      <c r="B1168" s="50" t="str">
        <f>IFERROR(__xludf.DUMMYFUNCTION("""COMPUTED_VALUE"""),"opg087 gene (MPOX)                    ")</f>
        <v>opg087 gene (MPOX)                    </v>
      </c>
      <c r="C1168" s="59" t="str">
        <f>IFERROR(__xludf.DUMMYFUNCTION("""COMPUTED_VALUE"""),"GENEPIO:0101447")</f>
        <v>GENEPIO:0101447</v>
      </c>
      <c r="D1168" s="29" t="str">
        <f>IFERROR(__xludf.DUMMYFUNCTION("""COMPUTED_VALUE"""),"A gene that encodes the Late transcription elongation factor protein (MPOX).")</f>
        <v>A gene that encodes the Late transcription elongation factor protein (MPOX).</v>
      </c>
      <c r="H1168" s="52" t="s">
        <v>30</v>
      </c>
      <c r="I1168" s="52" t="s">
        <v>30</v>
      </c>
      <c r="J1168" s="52" t="s">
        <v>30</v>
      </c>
      <c r="K1168" s="52" t="str">
        <f t="shared" si="73"/>
        <v>International</v>
      </c>
      <c r="M1168" s="55"/>
    </row>
    <row r="1169">
      <c r="A1169" s="53"/>
      <c r="B1169" s="50" t="str">
        <f>IFERROR(__xludf.DUMMYFUNCTION("""COMPUTED_VALUE"""),"opg088 gene (MPOX)                    ")</f>
        <v>opg088 gene (MPOX)                    </v>
      </c>
      <c r="C1169" s="59" t="str">
        <f>IFERROR(__xludf.DUMMYFUNCTION("""COMPUTED_VALUE"""),"GENEPIO:0101448")</f>
        <v>GENEPIO:0101448</v>
      </c>
      <c r="D1169" s="29" t="str">
        <f>IFERROR(__xludf.DUMMYFUNCTION("""COMPUTED_VALUE"""),"A gene that encodes the Glutaredoxin-2 protein (MPOX).")</f>
        <v>A gene that encodes the Glutaredoxin-2 protein (MPOX).</v>
      </c>
      <c r="H1169" s="52" t="s">
        <v>30</v>
      </c>
      <c r="I1169" s="52" t="s">
        <v>30</v>
      </c>
      <c r="J1169" s="52" t="s">
        <v>30</v>
      </c>
      <c r="K1169" s="52" t="str">
        <f t="shared" si="73"/>
        <v>International</v>
      </c>
      <c r="M1169" s="55"/>
    </row>
    <row r="1170">
      <c r="A1170" s="53"/>
      <c r="B1170" s="50" t="str">
        <f>IFERROR(__xludf.DUMMYFUNCTION("""COMPUTED_VALUE"""),"opg089 gene (MPOX)                    ")</f>
        <v>opg089 gene (MPOX)                    </v>
      </c>
      <c r="C1170" s="59" t="str">
        <f>IFERROR(__xludf.DUMMYFUNCTION("""COMPUTED_VALUE"""),"GENEPIO:0101449")</f>
        <v>GENEPIO:0101449</v>
      </c>
      <c r="D1170" s="29" t="str">
        <f>IFERROR(__xludf.DUMMYFUNCTION("""COMPUTED_VALUE"""),"A gene that encodes the FEN1-like nuclease protein (MPOX).")</f>
        <v>A gene that encodes the FEN1-like nuclease protein (MPOX).</v>
      </c>
      <c r="H1170" s="52" t="s">
        <v>30</v>
      </c>
      <c r="I1170" s="52" t="s">
        <v>30</v>
      </c>
      <c r="J1170" s="52" t="s">
        <v>30</v>
      </c>
      <c r="K1170" s="52" t="str">
        <f t="shared" si="73"/>
        <v>International</v>
      </c>
      <c r="M1170" s="55"/>
    </row>
    <row r="1171">
      <c r="A1171" s="53"/>
      <c r="B1171" s="50" t="str">
        <f>IFERROR(__xludf.DUMMYFUNCTION("""COMPUTED_VALUE"""),"opg090 gene (MPOX)                    ")</f>
        <v>opg090 gene (MPOX)                    </v>
      </c>
      <c r="C1171" s="59" t="str">
        <f>IFERROR(__xludf.DUMMYFUNCTION("""COMPUTED_VALUE"""),"GENEPIO:0101450")</f>
        <v>GENEPIO:0101450</v>
      </c>
      <c r="D1171" s="29" t="str">
        <f>IFERROR(__xludf.DUMMYFUNCTION("""COMPUTED_VALUE"""),"A gene that encodes the DNA-directed RNA polymerase 7 kDa subunit protein (MPOX).")</f>
        <v>A gene that encodes the DNA-directed RNA polymerase 7 kDa subunit protein (MPOX).</v>
      </c>
      <c r="H1171" s="52" t="s">
        <v>30</v>
      </c>
      <c r="I1171" s="52" t="s">
        <v>30</v>
      </c>
      <c r="J1171" s="52" t="s">
        <v>30</v>
      </c>
      <c r="K1171" s="52" t="str">
        <f t="shared" si="73"/>
        <v>International</v>
      </c>
      <c r="M1171" s="55"/>
    </row>
    <row r="1172">
      <c r="A1172" s="53"/>
      <c r="B1172" s="50" t="str">
        <f>IFERROR(__xludf.DUMMYFUNCTION("""COMPUTED_VALUE"""),"opg091 gene (MPOX)                    ")</f>
        <v>opg091 gene (MPOX)                    </v>
      </c>
      <c r="C1172" s="59" t="str">
        <f>IFERROR(__xludf.DUMMYFUNCTION("""COMPUTED_VALUE"""),"GENEPIO:0101451")</f>
        <v>GENEPIO:0101451</v>
      </c>
      <c r="D1172" s="29" t="str">
        <f>IFERROR(__xludf.DUMMYFUNCTION("""COMPUTED_VALUE"""),"A gene that encodes the Nlpc/p60 superfamily protein (MPOX).")</f>
        <v>A gene that encodes the Nlpc/p60 superfamily protein (MPOX).</v>
      </c>
      <c r="H1172" s="52" t="s">
        <v>30</v>
      </c>
      <c r="I1172" s="52" t="s">
        <v>30</v>
      </c>
      <c r="J1172" s="52" t="s">
        <v>30</v>
      </c>
      <c r="K1172" s="52" t="str">
        <f t="shared" si="73"/>
        <v>International</v>
      </c>
      <c r="M1172" s="55"/>
    </row>
    <row r="1173">
      <c r="A1173" s="53"/>
      <c r="B1173" s="50" t="str">
        <f>IFERROR(__xludf.DUMMYFUNCTION("""COMPUTED_VALUE"""),"opg092 gene (MPOX)                    ")</f>
        <v>opg092 gene (MPOX)                    </v>
      </c>
      <c r="C1173" s="59" t="str">
        <f>IFERROR(__xludf.DUMMYFUNCTION("""COMPUTED_VALUE"""),"GENEPIO:0101452")</f>
        <v>GENEPIO:0101452</v>
      </c>
      <c r="D1173" s="29" t="str">
        <f>IFERROR(__xludf.DUMMYFUNCTION("""COMPUTED_VALUE"""),"A gene that encodes the Assembly protein G7 (MPOX).")</f>
        <v>A gene that encodes the Assembly protein G7 (MPOX).</v>
      </c>
      <c r="H1173" s="52" t="s">
        <v>30</v>
      </c>
      <c r="I1173" s="52" t="s">
        <v>30</v>
      </c>
      <c r="J1173" s="52" t="s">
        <v>30</v>
      </c>
      <c r="K1173" s="52" t="str">
        <f t="shared" si="73"/>
        <v>International</v>
      </c>
      <c r="M1173" s="55"/>
    </row>
    <row r="1174">
      <c r="A1174" s="53"/>
      <c r="B1174" s="50" t="str">
        <f>IFERROR(__xludf.DUMMYFUNCTION("""COMPUTED_VALUE"""),"opg093 gene (MPOX)                    ")</f>
        <v>opg093 gene (MPOX)                    </v>
      </c>
      <c r="C1174" s="59" t="str">
        <f>IFERROR(__xludf.DUMMYFUNCTION("""COMPUTED_VALUE"""),"GENEPIO:0101453")</f>
        <v>GENEPIO:0101453</v>
      </c>
      <c r="D1174" s="29" t="str">
        <f>IFERROR(__xludf.DUMMYFUNCTION("""COMPUTED_VALUE"""),"A gene that encodes the Late transcription factor VLTF-1 protein (MPOX).")</f>
        <v>A gene that encodes the Late transcription factor VLTF-1 protein (MPOX).</v>
      </c>
      <c r="H1174" s="52" t="s">
        <v>30</v>
      </c>
      <c r="I1174" s="52" t="s">
        <v>30</v>
      </c>
      <c r="J1174" s="52" t="s">
        <v>30</v>
      </c>
      <c r="K1174" s="52" t="str">
        <f t="shared" si="73"/>
        <v>International</v>
      </c>
      <c r="M1174" s="55"/>
    </row>
    <row r="1175">
      <c r="A1175" s="53"/>
      <c r="B1175" s="50" t="str">
        <f>IFERROR(__xludf.DUMMYFUNCTION("""COMPUTED_VALUE"""),"opg094 gene (MPOX)                    ")</f>
        <v>opg094 gene (MPOX)                    </v>
      </c>
      <c r="C1175" s="59" t="str">
        <f>IFERROR(__xludf.DUMMYFUNCTION("""COMPUTED_VALUE"""),"GENEPIO:0101454")</f>
        <v>GENEPIO:0101454</v>
      </c>
      <c r="D1175" s="29" t="str">
        <f>IFERROR(__xludf.DUMMYFUNCTION("""COMPUTED_VALUE"""),"A gene that encodes the Myristylated protein (MPOX).")</f>
        <v>A gene that encodes the Myristylated protein (MPOX).</v>
      </c>
      <c r="H1175" s="52" t="s">
        <v>30</v>
      </c>
      <c r="I1175" s="52" t="s">
        <v>30</v>
      </c>
      <c r="J1175" s="52" t="s">
        <v>30</v>
      </c>
      <c r="K1175" s="52" t="str">
        <f t="shared" si="73"/>
        <v>International</v>
      </c>
      <c r="M1175" s="55"/>
    </row>
    <row r="1176">
      <c r="A1176" s="53"/>
      <c r="B1176" s="50" t="str">
        <f>IFERROR(__xludf.DUMMYFUNCTION("""COMPUTED_VALUE"""),"opg095 gene (MPOX)                    ")</f>
        <v>opg095 gene (MPOX)                    </v>
      </c>
      <c r="C1176" s="59" t="str">
        <f>IFERROR(__xludf.DUMMYFUNCTION("""COMPUTED_VALUE"""),"GENEPIO:0101455")</f>
        <v>GENEPIO:0101455</v>
      </c>
      <c r="D1176" s="29" t="str">
        <f>IFERROR(__xludf.DUMMYFUNCTION("""COMPUTED_VALUE"""),"A gene that encodes the IMV membrane protein L1R (MPOX).")</f>
        <v>A gene that encodes the IMV membrane protein L1R (MPOX).</v>
      </c>
      <c r="H1176" s="52" t="s">
        <v>30</v>
      </c>
      <c r="I1176" s="52" t="s">
        <v>30</v>
      </c>
      <c r="J1176" s="52" t="s">
        <v>30</v>
      </c>
      <c r="K1176" s="52" t="str">
        <f t="shared" si="73"/>
        <v>International</v>
      </c>
      <c r="M1176" s="55"/>
    </row>
    <row r="1177">
      <c r="A1177" s="53"/>
      <c r="B1177" s="50" t="str">
        <f>IFERROR(__xludf.DUMMYFUNCTION("""COMPUTED_VALUE"""),"opg096 gene (MPOX)                    ")</f>
        <v>opg096 gene (MPOX)                    </v>
      </c>
      <c r="C1177" s="59" t="str">
        <f>IFERROR(__xludf.DUMMYFUNCTION("""COMPUTED_VALUE"""),"GENEPIO:0101456")</f>
        <v>GENEPIO:0101456</v>
      </c>
      <c r="D1177" s="29" t="str">
        <f>IFERROR(__xludf.DUMMYFUNCTION("""COMPUTED_VALUE"""),"A gene that encodes the Crescent membrane and immature virion formation protein (MPOX).")</f>
        <v>A gene that encodes the Crescent membrane and immature virion formation protein (MPOX).</v>
      </c>
      <c r="H1177" s="52" t="s">
        <v>30</v>
      </c>
      <c r="I1177" s="52" t="s">
        <v>30</v>
      </c>
      <c r="J1177" s="52" t="s">
        <v>30</v>
      </c>
      <c r="K1177" s="52" t="str">
        <f t="shared" si="73"/>
        <v>International</v>
      </c>
      <c r="M1177" s="55"/>
    </row>
    <row r="1178">
      <c r="A1178" s="53"/>
      <c r="B1178" s="50" t="str">
        <f>IFERROR(__xludf.DUMMYFUNCTION("""COMPUTED_VALUE"""),"opg097 gene (MPOX)                    ")</f>
        <v>opg097 gene (MPOX)                    </v>
      </c>
      <c r="C1178" s="59" t="str">
        <f>IFERROR(__xludf.DUMMYFUNCTION("""COMPUTED_VALUE"""),"GENEPIO:0101457")</f>
        <v>GENEPIO:0101457</v>
      </c>
      <c r="D1178" s="29" t="str">
        <f>IFERROR(__xludf.DUMMYFUNCTION("""COMPUTED_VALUE"""),"A gene that encodes the Internal virion L3/FP4 protein (MPOX).")</f>
        <v>A gene that encodes the Internal virion L3/FP4 protein (MPOX).</v>
      </c>
      <c r="H1178" s="52" t="s">
        <v>30</v>
      </c>
      <c r="I1178" s="52" t="s">
        <v>30</v>
      </c>
      <c r="J1178" s="52" t="s">
        <v>30</v>
      </c>
      <c r="K1178" s="52" t="str">
        <f t="shared" si="73"/>
        <v>International</v>
      </c>
      <c r="M1178" s="55"/>
    </row>
    <row r="1179">
      <c r="A1179" s="53"/>
      <c r="B1179" s="50" t="str">
        <f>IFERROR(__xludf.DUMMYFUNCTION("""COMPUTED_VALUE"""),"opg098 gene (MPOX)                    ")</f>
        <v>opg098 gene (MPOX)                    </v>
      </c>
      <c r="C1179" s="59" t="str">
        <f>IFERROR(__xludf.DUMMYFUNCTION("""COMPUTED_VALUE"""),"GENEPIO:0101458")</f>
        <v>GENEPIO:0101458</v>
      </c>
      <c r="D1179" s="29" t="str">
        <f>IFERROR(__xludf.DUMMYFUNCTION("""COMPUTED_VALUE"""),"A gene that encodes the Nucleic acid binding protein VP8/L4R (MPOX).")</f>
        <v>A gene that encodes the Nucleic acid binding protein VP8/L4R (MPOX).</v>
      </c>
      <c r="H1179" s="52" t="s">
        <v>30</v>
      </c>
      <c r="I1179" s="52" t="s">
        <v>30</v>
      </c>
      <c r="J1179" s="52" t="s">
        <v>30</v>
      </c>
      <c r="K1179" s="52" t="str">
        <f t="shared" si="73"/>
        <v>International</v>
      </c>
      <c r="M1179" s="55"/>
    </row>
    <row r="1180">
      <c r="A1180" s="53"/>
      <c r="B1180" s="50" t="str">
        <f>IFERROR(__xludf.DUMMYFUNCTION("""COMPUTED_VALUE"""),"opg099 gene (MPOX)                    ")</f>
        <v>opg099 gene (MPOX)                    </v>
      </c>
      <c r="C1180" s="59" t="str">
        <f>IFERROR(__xludf.DUMMYFUNCTION("""COMPUTED_VALUE"""),"GENEPIO:0101459")</f>
        <v>GENEPIO:0101459</v>
      </c>
      <c r="D1180" s="29" t="str">
        <f>IFERROR(__xludf.DUMMYFUNCTION("""COMPUTED_VALUE"""),"A gene that encodes the Membrane protein CL5 (MPOX).")</f>
        <v>A gene that encodes the Membrane protein CL5 (MPOX).</v>
      </c>
      <c r="H1180" s="52" t="s">
        <v>30</v>
      </c>
      <c r="I1180" s="52" t="s">
        <v>30</v>
      </c>
      <c r="J1180" s="52" t="s">
        <v>30</v>
      </c>
      <c r="K1180" s="52" t="str">
        <f t="shared" si="73"/>
        <v>International</v>
      </c>
      <c r="M1180" s="55"/>
    </row>
    <row r="1181">
      <c r="A1181" s="53"/>
      <c r="B1181" s="50" t="str">
        <f>IFERROR(__xludf.DUMMYFUNCTION("""COMPUTED_VALUE"""),"opg100 gene (MPOX)                    ")</f>
        <v>opg100 gene (MPOX)                    </v>
      </c>
      <c r="C1181" s="59" t="str">
        <f>IFERROR(__xludf.DUMMYFUNCTION("""COMPUTED_VALUE"""),"GENEPIO:0101460")</f>
        <v>GENEPIO:0101460</v>
      </c>
      <c r="D1181" s="29" t="str">
        <f>IFERROR(__xludf.DUMMYFUNCTION("""COMPUTED_VALUE"""),"A gene that encodes the IMV membrane protein J1 (MPOX).")</f>
        <v>A gene that encodes the IMV membrane protein J1 (MPOX).</v>
      </c>
      <c r="H1181" s="52" t="s">
        <v>30</v>
      </c>
      <c r="I1181" s="52" t="s">
        <v>30</v>
      </c>
      <c r="J1181" s="52" t="s">
        <v>30</v>
      </c>
      <c r="K1181" s="52" t="str">
        <f t="shared" si="73"/>
        <v>International</v>
      </c>
      <c r="M1181" s="55"/>
    </row>
    <row r="1182">
      <c r="A1182" s="53"/>
      <c r="B1182" s="50" t="str">
        <f>IFERROR(__xludf.DUMMYFUNCTION("""COMPUTED_VALUE"""),"opg101 gene (MPOX)                    ")</f>
        <v>opg101 gene (MPOX)                    </v>
      </c>
      <c r="C1182" s="59" t="str">
        <f>IFERROR(__xludf.DUMMYFUNCTION("""COMPUTED_VALUE"""),"GENEPIO:0101461")</f>
        <v>GENEPIO:0101461</v>
      </c>
      <c r="D1182" s="29" t="str">
        <f>IFERROR(__xludf.DUMMYFUNCTION("""COMPUTED_VALUE"""),"A gene that encodes the Thymidine kinase protein (MPOX).")</f>
        <v>A gene that encodes the Thymidine kinase protein (MPOX).</v>
      </c>
      <c r="H1182" s="52" t="s">
        <v>30</v>
      </c>
      <c r="I1182" s="52" t="s">
        <v>30</v>
      </c>
      <c r="J1182" s="52" t="s">
        <v>30</v>
      </c>
      <c r="K1182" s="52" t="str">
        <f t="shared" si="73"/>
        <v>International</v>
      </c>
      <c r="M1182" s="55"/>
    </row>
    <row r="1183">
      <c r="A1183" s="53"/>
      <c r="B1183" s="50" t="str">
        <f>IFERROR(__xludf.DUMMYFUNCTION("""COMPUTED_VALUE"""),"opg102 gene (MPOX)                    ")</f>
        <v>opg102 gene (MPOX)                    </v>
      </c>
      <c r="C1183" s="59" t="str">
        <f>IFERROR(__xludf.DUMMYFUNCTION("""COMPUTED_VALUE"""),"GENEPIO:0101462")</f>
        <v>GENEPIO:0101462</v>
      </c>
      <c r="D1183" s="29" t="str">
        <f>IFERROR(__xludf.DUMMYFUNCTION("""COMPUTED_VALUE"""),"A gene that encodes the Cap-specific mRNA protein (MPOX).")</f>
        <v>A gene that encodes the Cap-specific mRNA protein (MPOX).</v>
      </c>
      <c r="H1183" s="52" t="s">
        <v>30</v>
      </c>
      <c r="I1183" s="52" t="s">
        <v>30</v>
      </c>
      <c r="J1183" s="52" t="s">
        <v>30</v>
      </c>
      <c r="K1183" s="52" t="str">
        <f t="shared" si="73"/>
        <v>International</v>
      </c>
      <c r="M1183" s="55"/>
    </row>
    <row r="1184">
      <c r="A1184" s="53"/>
      <c r="B1184" s="50" t="str">
        <f>IFERROR(__xludf.DUMMYFUNCTION("""COMPUTED_VALUE"""),"opg103 gene (MPOX)                    ")</f>
        <v>opg103 gene (MPOX)                    </v>
      </c>
      <c r="C1184" s="59" t="str">
        <f>IFERROR(__xludf.DUMMYFUNCTION("""COMPUTED_VALUE"""),"GENEPIO:0101463")</f>
        <v>GENEPIO:0101463</v>
      </c>
      <c r="D1184" s="29" t="str">
        <f>IFERROR(__xludf.DUMMYFUNCTION("""COMPUTED_VALUE"""),"A gene that encodes the DNA-directed RNA polymerase subunit protein (MPOX).")</f>
        <v>A gene that encodes the DNA-directed RNA polymerase subunit protein (MPOX).</v>
      </c>
      <c r="H1184" s="52" t="s">
        <v>30</v>
      </c>
      <c r="I1184" s="52" t="s">
        <v>30</v>
      </c>
      <c r="J1184" s="52" t="s">
        <v>30</v>
      </c>
      <c r="K1184" s="52" t="str">
        <f t="shared" si="73"/>
        <v>International</v>
      </c>
      <c r="M1184" s="55"/>
    </row>
    <row r="1185">
      <c r="A1185" s="53"/>
      <c r="B1185" s="50" t="str">
        <f>IFERROR(__xludf.DUMMYFUNCTION("""COMPUTED_VALUE"""),"opg104 gene (MPOX)                    ")</f>
        <v>opg104 gene (MPOX)                    </v>
      </c>
      <c r="C1185" s="59" t="str">
        <f>IFERROR(__xludf.DUMMYFUNCTION("""COMPUTED_VALUE"""),"GENEPIO:0101464")</f>
        <v>GENEPIO:0101464</v>
      </c>
      <c r="D1185" s="29" t="str">
        <f>IFERROR(__xludf.DUMMYFUNCTION("""COMPUTED_VALUE"""),"A gene that encodes the Myristylated protein (MPOX).")</f>
        <v>A gene that encodes the Myristylated protein (MPOX).</v>
      </c>
      <c r="H1185" s="52" t="s">
        <v>30</v>
      </c>
      <c r="I1185" s="52" t="s">
        <v>30</v>
      </c>
      <c r="J1185" s="52" t="s">
        <v>30</v>
      </c>
      <c r="K1185" s="52" t="str">
        <f t="shared" si="73"/>
        <v>International</v>
      </c>
      <c r="M1185" s="55"/>
    </row>
    <row r="1186">
      <c r="A1186" s="53"/>
      <c r="B1186" s="50" t="str">
        <f>IFERROR(__xludf.DUMMYFUNCTION("""COMPUTED_VALUE"""),"opg105 gene (MPOX)                    ")</f>
        <v>opg105 gene (MPOX)                    </v>
      </c>
      <c r="C1186" s="59" t="str">
        <f>IFERROR(__xludf.DUMMYFUNCTION("""COMPUTED_VALUE"""),"GENEPIO:0101465")</f>
        <v>GENEPIO:0101465</v>
      </c>
      <c r="D1186" s="29" t="str">
        <f>IFERROR(__xludf.DUMMYFUNCTION("""COMPUTED_VALUE"""),"A gene that encodes the DNA-dependent RNA polymerase subunit rpo147 protein (MPOX).")</f>
        <v>A gene that encodes the DNA-dependent RNA polymerase subunit rpo147 protein (MPOX).</v>
      </c>
      <c r="H1186" s="52" t="s">
        <v>30</v>
      </c>
      <c r="I1186" s="52" t="s">
        <v>30</v>
      </c>
      <c r="J1186" s="52" t="s">
        <v>30</v>
      </c>
      <c r="K1186" s="52" t="str">
        <f t="shared" si="73"/>
        <v>International</v>
      </c>
      <c r="M1186" s="55"/>
    </row>
    <row r="1187">
      <c r="A1187" s="53"/>
      <c r="B1187" s="50" t="str">
        <f>IFERROR(__xludf.DUMMYFUNCTION("""COMPUTED_VALUE"""),"opg106 gene (MPOX)                    ")</f>
        <v>opg106 gene (MPOX)                    </v>
      </c>
      <c r="C1187" s="59" t="str">
        <f>IFERROR(__xludf.DUMMYFUNCTION("""COMPUTED_VALUE"""),"GENEPIO:0101466")</f>
        <v>GENEPIO:0101466</v>
      </c>
      <c r="D1187" s="29" t="str">
        <f>IFERROR(__xludf.DUMMYFUNCTION("""COMPUTED_VALUE"""),"A gene that encodes the Tyr/ser protein phosphatase (MPOX).")</f>
        <v>A gene that encodes the Tyr/ser protein phosphatase (MPOX).</v>
      </c>
      <c r="H1187" s="52" t="s">
        <v>30</v>
      </c>
      <c r="I1187" s="52" t="s">
        <v>30</v>
      </c>
      <c r="J1187" s="52" t="s">
        <v>30</v>
      </c>
      <c r="K1187" s="52" t="str">
        <f t="shared" si="73"/>
        <v>International</v>
      </c>
      <c r="M1187" s="55"/>
    </row>
    <row r="1188">
      <c r="A1188" s="53"/>
      <c r="B1188" s="50" t="str">
        <f>IFERROR(__xludf.DUMMYFUNCTION("""COMPUTED_VALUE"""),"opg107 gene (MPOX)                    ")</f>
        <v>opg107 gene (MPOX)                    </v>
      </c>
      <c r="C1188" s="59" t="str">
        <f>IFERROR(__xludf.DUMMYFUNCTION("""COMPUTED_VALUE"""),"GENEPIO:0101467")</f>
        <v>GENEPIO:0101467</v>
      </c>
      <c r="D1188" s="29" t="str">
        <f>IFERROR(__xludf.DUMMYFUNCTION("""COMPUTED_VALUE"""),"A gene that encodes the Entry-fusion complex essential component protein (MPOX).")</f>
        <v>A gene that encodes the Entry-fusion complex essential component protein (MPOX).</v>
      </c>
      <c r="H1188" s="52" t="s">
        <v>30</v>
      </c>
      <c r="I1188" s="52" t="s">
        <v>30</v>
      </c>
      <c r="J1188" s="52" t="s">
        <v>30</v>
      </c>
      <c r="K1188" s="52" t="str">
        <f t="shared" si="73"/>
        <v>International</v>
      </c>
      <c r="M1188" s="55"/>
    </row>
    <row r="1189">
      <c r="A1189" s="53"/>
      <c r="B1189" s="50" t="str">
        <f>IFERROR(__xludf.DUMMYFUNCTION("""COMPUTED_VALUE"""),"opg108 gene (MPOX)                    ")</f>
        <v>opg108 gene (MPOX)                    </v>
      </c>
      <c r="C1189" s="59" t="str">
        <f>IFERROR(__xludf.DUMMYFUNCTION("""COMPUTED_VALUE"""),"GENEPIO:0101468")</f>
        <v>GENEPIO:0101468</v>
      </c>
      <c r="D1189" s="29" t="str">
        <f>IFERROR(__xludf.DUMMYFUNCTION("""COMPUTED_VALUE"""),"A gene that encodes the IMV heparin binding surface protein (MPOX).")</f>
        <v>A gene that encodes the IMV heparin binding surface protein (MPOX).</v>
      </c>
      <c r="H1189" s="52" t="s">
        <v>30</v>
      </c>
      <c r="I1189" s="52" t="s">
        <v>30</v>
      </c>
      <c r="J1189" s="52" t="s">
        <v>30</v>
      </c>
      <c r="K1189" s="52" t="str">
        <f t="shared" si="73"/>
        <v>International</v>
      </c>
      <c r="M1189" s="55"/>
    </row>
    <row r="1190">
      <c r="A1190" s="53"/>
      <c r="B1190" s="50" t="str">
        <f>IFERROR(__xludf.DUMMYFUNCTION("""COMPUTED_VALUE"""),"opg109 gene (MPOX)                    ")</f>
        <v>opg109 gene (MPOX)                    </v>
      </c>
      <c r="C1190" s="59" t="str">
        <f>IFERROR(__xludf.DUMMYFUNCTION("""COMPUTED_VALUE"""),"GENEPIO:0101469")</f>
        <v>GENEPIO:0101469</v>
      </c>
      <c r="D1190" s="29" t="str">
        <f>IFERROR(__xludf.DUMMYFUNCTION("""COMPUTED_VALUE"""),"A gene that encodes the RNA polymerase-associated transcription-specificity factor RAP94 protein (MPOX).")</f>
        <v>A gene that encodes the RNA polymerase-associated transcription-specificity factor RAP94 protein (MPOX).</v>
      </c>
      <c r="H1190" s="52" t="s">
        <v>30</v>
      </c>
      <c r="I1190" s="52" t="s">
        <v>30</v>
      </c>
      <c r="J1190" s="52" t="s">
        <v>30</v>
      </c>
      <c r="K1190" s="52" t="str">
        <f t="shared" si="73"/>
        <v>International</v>
      </c>
      <c r="M1190" s="55"/>
    </row>
    <row r="1191">
      <c r="A1191" s="53"/>
      <c r="B1191" s="50" t="str">
        <f>IFERROR(__xludf.DUMMYFUNCTION("""COMPUTED_VALUE"""),"opg110 gene (MPOX)                    ")</f>
        <v>opg110 gene (MPOX)                    </v>
      </c>
      <c r="C1191" s="59" t="str">
        <f>IFERROR(__xludf.DUMMYFUNCTION("""COMPUTED_VALUE"""),"GENEPIO:0101470")</f>
        <v>GENEPIO:0101470</v>
      </c>
      <c r="D1191" s="29" t="str">
        <f>IFERROR(__xludf.DUMMYFUNCTION("""COMPUTED_VALUE"""),"A gene that encodes the Late transcription factor VLTF-4 (1) protein (MPOX).")</f>
        <v>A gene that encodes the Late transcription factor VLTF-4 (1) protein (MPOX).</v>
      </c>
      <c r="H1191" s="52" t="s">
        <v>30</v>
      </c>
      <c r="I1191" s="52" t="s">
        <v>30</v>
      </c>
      <c r="J1191" s="52" t="s">
        <v>30</v>
      </c>
      <c r="K1191" s="52" t="str">
        <f t="shared" si="73"/>
        <v>International</v>
      </c>
      <c r="M1191" s="55"/>
    </row>
    <row r="1192">
      <c r="A1192" s="53"/>
      <c r="B1192" s="50" t="str">
        <f>IFERROR(__xludf.DUMMYFUNCTION("""COMPUTED_VALUE"""),"opg111 gene (MPOX)                    ")</f>
        <v>opg111 gene (MPOX)                    </v>
      </c>
      <c r="C1192" s="59" t="str">
        <f>IFERROR(__xludf.DUMMYFUNCTION("""COMPUTED_VALUE"""),"GENEPIO:0101471")</f>
        <v>GENEPIO:0101471</v>
      </c>
      <c r="D1192" s="29" t="str">
        <f>IFERROR(__xludf.DUMMYFUNCTION("""COMPUTED_VALUE"""),"A gene that encodes the DNA topoisomerase type I protein (MPOX).")</f>
        <v>A gene that encodes the DNA topoisomerase type I protein (MPOX).</v>
      </c>
      <c r="H1192" s="52" t="s">
        <v>30</v>
      </c>
      <c r="I1192" s="52" t="s">
        <v>30</v>
      </c>
      <c r="J1192" s="52" t="s">
        <v>30</v>
      </c>
      <c r="K1192" s="52" t="str">
        <f t="shared" si="73"/>
        <v>International</v>
      </c>
      <c r="M1192" s="55"/>
    </row>
    <row r="1193">
      <c r="A1193" s="53"/>
      <c r="B1193" s="50" t="str">
        <f>IFERROR(__xludf.DUMMYFUNCTION("""COMPUTED_VALUE"""),"opg112 gene (MPOX)                    ")</f>
        <v>opg112 gene (MPOX)                    </v>
      </c>
      <c r="C1193" s="59" t="str">
        <f>IFERROR(__xludf.DUMMYFUNCTION("""COMPUTED_VALUE"""),"GENEPIO:0101472")</f>
        <v>GENEPIO:0101472</v>
      </c>
      <c r="D1193" s="29" t="str">
        <f>IFERROR(__xludf.DUMMYFUNCTION("""COMPUTED_VALUE"""),"A gene that encodes the Late protein H7 (MPOX).")</f>
        <v>A gene that encodes the Late protein H7 (MPOX).</v>
      </c>
      <c r="H1193" s="52" t="s">
        <v>30</v>
      </c>
      <c r="I1193" s="52" t="s">
        <v>30</v>
      </c>
      <c r="J1193" s="52" t="s">
        <v>30</v>
      </c>
      <c r="K1193" s="52" t="str">
        <f t="shared" si="73"/>
        <v>International</v>
      </c>
      <c r="M1193" s="55"/>
    </row>
    <row r="1194">
      <c r="A1194" s="53"/>
      <c r="B1194" s="50" t="str">
        <f>IFERROR(__xludf.DUMMYFUNCTION("""COMPUTED_VALUE"""),"opg113 gene (MPOX)                    ")</f>
        <v>opg113 gene (MPOX)                    </v>
      </c>
      <c r="C1194" s="59" t="str">
        <f>IFERROR(__xludf.DUMMYFUNCTION("""COMPUTED_VALUE"""),"GENEPIO:0101473")</f>
        <v>GENEPIO:0101473</v>
      </c>
      <c r="D1194" s="29" t="str">
        <f>IFERROR(__xludf.DUMMYFUNCTION("""COMPUTED_VALUE"""),"A gene that encodes the mRNA capping enzyme large subunit protein (MPOX).")</f>
        <v>A gene that encodes the mRNA capping enzyme large subunit protein (MPOX).</v>
      </c>
      <c r="H1194" s="52" t="s">
        <v>30</v>
      </c>
      <c r="I1194" s="52" t="s">
        <v>30</v>
      </c>
      <c r="J1194" s="52" t="s">
        <v>30</v>
      </c>
      <c r="K1194" s="52" t="str">
        <f t="shared" si="73"/>
        <v>International</v>
      </c>
      <c r="M1194" s="55"/>
    </row>
    <row r="1195">
      <c r="A1195" s="53"/>
      <c r="B1195" s="50" t="str">
        <f>IFERROR(__xludf.DUMMYFUNCTION("""COMPUTED_VALUE"""),"opg114 gene (MPOX)                    ")</f>
        <v>opg114 gene (MPOX)                    </v>
      </c>
      <c r="C1195" s="59" t="str">
        <f>IFERROR(__xludf.DUMMYFUNCTION("""COMPUTED_VALUE"""),"GENEPIO:0101474")</f>
        <v>GENEPIO:0101474</v>
      </c>
      <c r="D1195" s="29" t="str">
        <f>IFERROR(__xludf.DUMMYFUNCTION("""COMPUTED_VALUE"""),"A gene that encodes the Virion protein D2 (MPOX).")</f>
        <v>A gene that encodes the Virion protein D2 (MPOX).</v>
      </c>
      <c r="H1195" s="52" t="s">
        <v>30</v>
      </c>
      <c r="I1195" s="52" t="s">
        <v>30</v>
      </c>
      <c r="J1195" s="52" t="s">
        <v>30</v>
      </c>
      <c r="K1195" s="52" t="str">
        <f t="shared" si="73"/>
        <v>International</v>
      </c>
      <c r="M1195" s="55"/>
    </row>
    <row r="1196">
      <c r="A1196" s="53"/>
      <c r="B1196" s="50" t="str">
        <f>IFERROR(__xludf.DUMMYFUNCTION("""COMPUTED_VALUE"""),"opg115 gene (MPOX)                    ")</f>
        <v>opg115 gene (MPOX)                    </v>
      </c>
      <c r="C1196" s="59" t="str">
        <f>IFERROR(__xludf.DUMMYFUNCTION("""COMPUTED_VALUE"""),"GENEPIO:0101475")</f>
        <v>GENEPIO:0101475</v>
      </c>
      <c r="D1196" s="29" t="str">
        <f>IFERROR(__xludf.DUMMYFUNCTION("""COMPUTED_VALUE"""),"A gene that encodes the Virion core protein D3 (MPOX).")</f>
        <v>A gene that encodes the Virion core protein D3 (MPOX).</v>
      </c>
      <c r="H1196" s="52" t="s">
        <v>30</v>
      </c>
      <c r="I1196" s="52" t="s">
        <v>30</v>
      </c>
      <c r="J1196" s="52" t="s">
        <v>30</v>
      </c>
      <c r="K1196" s="52" t="str">
        <f t="shared" si="73"/>
        <v>International</v>
      </c>
      <c r="M1196" s="55"/>
    </row>
    <row r="1197">
      <c r="A1197" s="53"/>
      <c r="B1197" s="50" t="str">
        <f>IFERROR(__xludf.DUMMYFUNCTION("""COMPUTED_VALUE"""),"opg116 gene (MPOX)                    ")</f>
        <v>opg116 gene (MPOX)                    </v>
      </c>
      <c r="C1197" s="59" t="str">
        <f>IFERROR(__xludf.DUMMYFUNCTION("""COMPUTED_VALUE"""),"GENEPIO:0101476")</f>
        <v>GENEPIO:0101476</v>
      </c>
      <c r="D1197" s="29" t="str">
        <f>IFERROR(__xludf.DUMMYFUNCTION("""COMPUTED_VALUE"""),"A gene that encodes the Uracil DNA glycosylase superfamily protein (MPOX).")</f>
        <v>A gene that encodes the Uracil DNA glycosylase superfamily protein (MPOX).</v>
      </c>
      <c r="H1197" s="52" t="s">
        <v>30</v>
      </c>
      <c r="I1197" s="52" t="s">
        <v>30</v>
      </c>
      <c r="J1197" s="52" t="s">
        <v>30</v>
      </c>
      <c r="K1197" s="52" t="str">
        <f t="shared" si="73"/>
        <v>International</v>
      </c>
      <c r="M1197" s="55"/>
    </row>
    <row r="1198">
      <c r="A1198" s="53"/>
      <c r="B1198" s="50" t="str">
        <f>IFERROR(__xludf.DUMMYFUNCTION("""COMPUTED_VALUE"""),"opg117 gene (MPOX)                    ")</f>
        <v>opg117 gene (MPOX)                    </v>
      </c>
      <c r="C1198" s="59" t="str">
        <f>IFERROR(__xludf.DUMMYFUNCTION("""COMPUTED_VALUE"""),"GENEPIO:0101477")</f>
        <v>GENEPIO:0101477</v>
      </c>
      <c r="D1198" s="29" t="str">
        <f>IFERROR(__xludf.DUMMYFUNCTION("""COMPUTED_VALUE"""),"A gene that encodes the NTPase (1) protein (MPOX).")</f>
        <v>A gene that encodes the NTPase (1) protein (MPOX).</v>
      </c>
      <c r="H1198" s="52" t="s">
        <v>30</v>
      </c>
      <c r="I1198" s="52" t="s">
        <v>30</v>
      </c>
      <c r="J1198" s="52" t="s">
        <v>30</v>
      </c>
      <c r="K1198" s="52" t="str">
        <f t="shared" si="73"/>
        <v>International</v>
      </c>
      <c r="M1198" s="55"/>
    </row>
    <row r="1199">
      <c r="A1199" s="53"/>
      <c r="B1199" s="50" t="str">
        <f>IFERROR(__xludf.DUMMYFUNCTION("""COMPUTED_VALUE"""),"opg118 gene (MPOX)                    ")</f>
        <v>opg118 gene (MPOX)                    </v>
      </c>
      <c r="C1199" s="59" t="str">
        <f>IFERROR(__xludf.DUMMYFUNCTION("""COMPUTED_VALUE"""),"GENEPIO:0101478")</f>
        <v>GENEPIO:0101478</v>
      </c>
      <c r="D1199" s="29" t="str">
        <f>IFERROR(__xludf.DUMMYFUNCTION("""COMPUTED_VALUE"""),"A gene that encodes the Early transcription factor 70 kDa subunit protein (MPOX).")</f>
        <v>A gene that encodes the Early transcription factor 70 kDa subunit protein (MPOX).</v>
      </c>
      <c r="H1199" s="52" t="s">
        <v>30</v>
      </c>
      <c r="I1199" s="52" t="s">
        <v>30</v>
      </c>
      <c r="J1199" s="52" t="s">
        <v>30</v>
      </c>
      <c r="K1199" s="52" t="str">
        <f t="shared" si="73"/>
        <v>International</v>
      </c>
      <c r="M1199" s="55"/>
    </row>
    <row r="1200">
      <c r="A1200" s="53"/>
      <c r="B1200" s="50" t="str">
        <f>IFERROR(__xludf.DUMMYFUNCTION("""COMPUTED_VALUE"""),"opg119 gene (MPOX)                    ")</f>
        <v>opg119 gene (MPOX)                    </v>
      </c>
      <c r="C1200" s="59" t="str">
        <f>IFERROR(__xludf.DUMMYFUNCTION("""COMPUTED_VALUE"""),"GENEPIO:0101479")</f>
        <v>GENEPIO:0101479</v>
      </c>
      <c r="D1200" s="29" t="str">
        <f>IFERROR(__xludf.DUMMYFUNCTION("""COMPUTED_VALUE"""),"A gene that encodes the RNA polymerase subunit RPO18 protein (MPOX).")</f>
        <v>A gene that encodes the RNA polymerase subunit RPO18 protein (MPOX).</v>
      </c>
      <c r="H1200" s="52" t="s">
        <v>30</v>
      </c>
      <c r="I1200" s="52" t="s">
        <v>30</v>
      </c>
      <c r="J1200" s="52" t="s">
        <v>30</v>
      </c>
      <c r="K1200" s="52" t="str">
        <f t="shared" si="73"/>
        <v>International</v>
      </c>
      <c r="M1200" s="55"/>
    </row>
    <row r="1201">
      <c r="A1201" s="53"/>
      <c r="B1201" s="50" t="str">
        <f>IFERROR(__xludf.DUMMYFUNCTION("""COMPUTED_VALUE"""),"opg120 gene (MPOX)                    ")</f>
        <v>opg120 gene (MPOX)                    </v>
      </c>
      <c r="C1201" s="59" t="str">
        <f>IFERROR(__xludf.DUMMYFUNCTION("""COMPUTED_VALUE"""),"GENEPIO:0101480")</f>
        <v>GENEPIO:0101480</v>
      </c>
      <c r="D1201" s="29" t="str">
        <f>IFERROR(__xludf.DUMMYFUNCTION("""COMPUTED_VALUE"""),"A gene that encodes the Carbonic anhydrase protein (MPOX).")</f>
        <v>A gene that encodes the Carbonic anhydrase protein (MPOX).</v>
      </c>
      <c r="H1201" s="52" t="s">
        <v>30</v>
      </c>
      <c r="I1201" s="52" t="s">
        <v>30</v>
      </c>
      <c r="J1201" s="52" t="s">
        <v>30</v>
      </c>
      <c r="K1201" s="52" t="str">
        <f t="shared" si="73"/>
        <v>International</v>
      </c>
      <c r="M1201" s="55"/>
    </row>
    <row r="1202">
      <c r="A1202" s="53"/>
      <c r="B1202" s="50" t="str">
        <f>IFERROR(__xludf.DUMMYFUNCTION("""COMPUTED_VALUE"""),"opg121 gene (MPOX)                    ")</f>
        <v>opg121 gene (MPOX)                    </v>
      </c>
      <c r="C1202" s="59" t="str">
        <f>IFERROR(__xludf.DUMMYFUNCTION("""COMPUTED_VALUE"""),"GENEPIO:0101481")</f>
        <v>GENEPIO:0101481</v>
      </c>
      <c r="D1202" s="29" t="str">
        <f>IFERROR(__xludf.DUMMYFUNCTION("""COMPUTED_VALUE"""),"A gene that encodes the NUDIX domain protein (MPOX).")</f>
        <v>A gene that encodes the NUDIX domain protein (MPOX).</v>
      </c>
      <c r="H1202" s="52" t="s">
        <v>30</v>
      </c>
      <c r="I1202" s="52" t="s">
        <v>30</v>
      </c>
      <c r="J1202" s="52" t="s">
        <v>30</v>
      </c>
      <c r="K1202" s="52" t="str">
        <f t="shared" si="73"/>
        <v>International</v>
      </c>
      <c r="M1202" s="55"/>
    </row>
    <row r="1203">
      <c r="A1203" s="53"/>
      <c r="B1203" s="50" t="str">
        <f>IFERROR(__xludf.DUMMYFUNCTION("""COMPUTED_VALUE"""),"opg122 gene (MPOX)                    ")</f>
        <v>opg122 gene (MPOX)                    </v>
      </c>
      <c r="C1203" s="59" t="str">
        <f>IFERROR(__xludf.DUMMYFUNCTION("""COMPUTED_VALUE"""),"GENEPIO:0101482")</f>
        <v>GENEPIO:0101482</v>
      </c>
      <c r="D1203" s="29" t="str">
        <f>IFERROR(__xludf.DUMMYFUNCTION("""COMPUTED_VALUE"""),"A gene that encodes the MutT motif protein (MPOX).")</f>
        <v>A gene that encodes the MutT motif protein (MPOX).</v>
      </c>
      <c r="H1203" s="52" t="s">
        <v>30</v>
      </c>
      <c r="I1203" s="52" t="s">
        <v>30</v>
      </c>
      <c r="J1203" s="52" t="s">
        <v>30</v>
      </c>
      <c r="K1203" s="52" t="str">
        <f t="shared" si="73"/>
        <v>International</v>
      </c>
      <c r="M1203" s="55"/>
    </row>
    <row r="1204">
      <c r="A1204" s="53"/>
      <c r="B1204" s="50" t="str">
        <f>IFERROR(__xludf.DUMMYFUNCTION("""COMPUTED_VALUE"""),"opg123 gene (MPOX)                    ")</f>
        <v>opg123 gene (MPOX)                    </v>
      </c>
      <c r="C1204" s="59" t="str">
        <f>IFERROR(__xludf.DUMMYFUNCTION("""COMPUTED_VALUE"""),"GENEPIO:0101483")</f>
        <v>GENEPIO:0101483</v>
      </c>
      <c r="D1204" s="29" t="str">
        <f>IFERROR(__xludf.DUMMYFUNCTION("""COMPUTED_VALUE"""),"A gene that encodes the Nucleoside triphosphatase I protein (MPOX).")</f>
        <v>A gene that encodes the Nucleoside triphosphatase I protein (MPOX).</v>
      </c>
      <c r="H1204" s="52" t="s">
        <v>30</v>
      </c>
      <c r="I1204" s="52" t="s">
        <v>30</v>
      </c>
      <c r="J1204" s="52" t="s">
        <v>30</v>
      </c>
      <c r="K1204" s="52" t="str">
        <f t="shared" si="73"/>
        <v>International</v>
      </c>
      <c r="M1204" s="55"/>
    </row>
    <row r="1205">
      <c r="A1205" s="53"/>
      <c r="B1205" s="50" t="str">
        <f>IFERROR(__xludf.DUMMYFUNCTION("""COMPUTED_VALUE"""),"opg124 gene (MPOX)                    ")</f>
        <v>opg124 gene (MPOX)                    </v>
      </c>
      <c r="C1205" s="59" t="str">
        <f>IFERROR(__xludf.DUMMYFUNCTION("""COMPUTED_VALUE"""),"GENEPIO:0101484")</f>
        <v>GENEPIO:0101484</v>
      </c>
      <c r="D1205" s="29" t="str">
        <f>IFERROR(__xludf.DUMMYFUNCTION("""COMPUTED_VALUE"""),"A gene that encodes the mRNA capping enzyme small subunit protein (MPOX).")</f>
        <v>A gene that encodes the mRNA capping enzyme small subunit protein (MPOX).</v>
      </c>
      <c r="H1205" s="52" t="s">
        <v>30</v>
      </c>
      <c r="I1205" s="52" t="s">
        <v>30</v>
      </c>
      <c r="J1205" s="52" t="s">
        <v>30</v>
      </c>
      <c r="K1205" s="52" t="str">
        <f t="shared" si="73"/>
        <v>International</v>
      </c>
      <c r="M1205" s="55"/>
    </row>
    <row r="1206">
      <c r="A1206" s="53"/>
      <c r="B1206" s="50" t="str">
        <f>IFERROR(__xludf.DUMMYFUNCTION("""COMPUTED_VALUE"""),"opg125 gene (MPOX)                    ")</f>
        <v>opg125 gene (MPOX)                    </v>
      </c>
      <c r="C1206" s="59" t="str">
        <f>IFERROR(__xludf.DUMMYFUNCTION("""COMPUTED_VALUE"""),"GENEPIO:0101485")</f>
        <v>GENEPIO:0101485</v>
      </c>
      <c r="D1206" s="29" t="str">
        <f>IFERROR(__xludf.DUMMYFUNCTION("""COMPUTED_VALUE"""),"A gene that encodes the Rifampicin resistance protein (MPOX).")</f>
        <v>A gene that encodes the Rifampicin resistance protein (MPOX).</v>
      </c>
      <c r="H1206" s="52" t="s">
        <v>30</v>
      </c>
      <c r="I1206" s="52" t="s">
        <v>30</v>
      </c>
      <c r="J1206" s="52" t="s">
        <v>30</v>
      </c>
      <c r="K1206" s="52" t="str">
        <f t="shared" si="73"/>
        <v>International</v>
      </c>
      <c r="M1206" s="55"/>
    </row>
    <row r="1207">
      <c r="A1207" s="53"/>
      <c r="B1207" s="50" t="str">
        <f>IFERROR(__xludf.DUMMYFUNCTION("""COMPUTED_VALUE"""),"opg126 gene (MPOX)                    ")</f>
        <v>opg126 gene (MPOX)                    </v>
      </c>
      <c r="C1207" s="59" t="str">
        <f>IFERROR(__xludf.DUMMYFUNCTION("""COMPUTED_VALUE"""),"GENEPIO:0101486")</f>
        <v>GENEPIO:0101486</v>
      </c>
      <c r="D1207" s="29" t="str">
        <f>IFERROR(__xludf.DUMMYFUNCTION("""COMPUTED_VALUE"""),"A gene that encodes the Late transcription factor VLTF-2 (2) protein (MPOX).")</f>
        <v>A gene that encodes the Late transcription factor VLTF-2 (2) protein (MPOX).</v>
      </c>
      <c r="H1207" s="52" t="s">
        <v>30</v>
      </c>
      <c r="I1207" s="52" t="s">
        <v>30</v>
      </c>
      <c r="J1207" s="52" t="s">
        <v>30</v>
      </c>
      <c r="K1207" s="52" t="str">
        <f t="shared" si="73"/>
        <v>International</v>
      </c>
      <c r="M1207" s="55"/>
    </row>
    <row r="1208">
      <c r="A1208" s="53"/>
      <c r="B1208" s="50" t="str">
        <f>IFERROR(__xludf.DUMMYFUNCTION("""COMPUTED_VALUE"""),"opg127 gene (MPOX)                    ")</f>
        <v>opg127 gene (MPOX)                    </v>
      </c>
      <c r="C1208" s="59" t="str">
        <f>IFERROR(__xludf.DUMMYFUNCTION("""COMPUTED_VALUE"""),"GENEPIO:0101487")</f>
        <v>GENEPIO:0101487</v>
      </c>
      <c r="D1208" s="29" t="str">
        <f>IFERROR(__xludf.DUMMYFUNCTION("""COMPUTED_VALUE"""),"A gene that encodes the Late transcription factor VLTF-3 (1) protein (MPOX).")</f>
        <v>A gene that encodes the Late transcription factor VLTF-3 (1) protein (MPOX).</v>
      </c>
      <c r="H1208" s="52" t="s">
        <v>30</v>
      </c>
      <c r="I1208" s="52" t="s">
        <v>30</v>
      </c>
      <c r="J1208" s="52" t="s">
        <v>30</v>
      </c>
      <c r="K1208" s="52" t="str">
        <f t="shared" si="73"/>
        <v>International</v>
      </c>
      <c r="M1208" s="55"/>
    </row>
    <row r="1209">
      <c r="A1209" s="53"/>
      <c r="B1209" s="50" t="str">
        <f>IFERROR(__xludf.DUMMYFUNCTION("""COMPUTED_VALUE"""),"opg128 gene (MPOX)                    ")</f>
        <v>opg128 gene (MPOX)                    </v>
      </c>
      <c r="C1209" s="59" t="str">
        <f>IFERROR(__xludf.DUMMYFUNCTION("""COMPUTED_VALUE"""),"GENEPIO:0101488")</f>
        <v>GENEPIO:0101488</v>
      </c>
      <c r="D1209" s="29" t="str">
        <f>IFERROR(__xludf.DUMMYFUNCTION("""COMPUTED_VALUE"""),"A gene that encodes the S-S bond formation pathway protein (MPOX).")</f>
        <v>A gene that encodes the S-S bond formation pathway protein (MPOX).</v>
      </c>
      <c r="H1209" s="52" t="s">
        <v>30</v>
      </c>
      <c r="I1209" s="52" t="s">
        <v>30</v>
      </c>
      <c r="J1209" s="52" t="s">
        <v>30</v>
      </c>
      <c r="K1209" s="52" t="str">
        <f t="shared" si="73"/>
        <v>International</v>
      </c>
      <c r="M1209" s="55"/>
    </row>
    <row r="1210">
      <c r="A1210" s="53"/>
      <c r="B1210" s="50" t="str">
        <f>IFERROR(__xludf.DUMMYFUNCTION("""COMPUTED_VALUE"""),"opg129 gene (MPOX)                    ")</f>
        <v>opg129 gene (MPOX)                    </v>
      </c>
      <c r="C1210" s="59" t="str">
        <f>IFERROR(__xludf.DUMMYFUNCTION("""COMPUTED_VALUE"""),"GENEPIO:0101489")</f>
        <v>GENEPIO:0101489</v>
      </c>
      <c r="D1210" s="29" t="str">
        <f>IFERROR(__xludf.DUMMYFUNCTION("""COMPUTED_VALUE"""),"A gene that encodes the Virion core protein P4b (MPOX).")</f>
        <v>A gene that encodes the Virion core protein P4b (MPOX).</v>
      </c>
      <c r="H1210" s="52" t="s">
        <v>30</v>
      </c>
      <c r="I1210" s="52" t="s">
        <v>30</v>
      </c>
      <c r="J1210" s="52" t="s">
        <v>30</v>
      </c>
      <c r="K1210" s="52" t="str">
        <f t="shared" si="73"/>
        <v>International</v>
      </c>
      <c r="M1210" s="55"/>
    </row>
    <row r="1211">
      <c r="A1211" s="53"/>
      <c r="B1211" s="50" t="str">
        <f>IFERROR(__xludf.DUMMYFUNCTION("""COMPUTED_VALUE"""),"opg130 gene (MPOX)                    ")</f>
        <v>opg130 gene (MPOX)                    </v>
      </c>
      <c r="C1211" s="59" t="str">
        <f>IFERROR(__xludf.DUMMYFUNCTION("""COMPUTED_VALUE"""),"GENEPIO:0101490")</f>
        <v>GENEPIO:0101490</v>
      </c>
      <c r="D1211" s="29" t="str">
        <f>IFERROR(__xludf.DUMMYFUNCTION("""COMPUTED_VALUE"""),"A gene that encodes the A5L protein-like (MPOX).")</f>
        <v>A gene that encodes the A5L protein-like (MPOX).</v>
      </c>
      <c r="H1211" s="52" t="s">
        <v>30</v>
      </c>
      <c r="I1211" s="52" t="s">
        <v>30</v>
      </c>
      <c r="J1211" s="52" t="s">
        <v>30</v>
      </c>
      <c r="K1211" s="52" t="str">
        <f t="shared" si="73"/>
        <v>International</v>
      </c>
      <c r="M1211" s="55"/>
    </row>
    <row r="1212">
      <c r="A1212" s="53"/>
      <c r="B1212" s="50" t="str">
        <f>IFERROR(__xludf.DUMMYFUNCTION("""COMPUTED_VALUE"""),"opg131 gene (MPOX)                    ")</f>
        <v>opg131 gene (MPOX)                    </v>
      </c>
      <c r="C1212" s="59" t="str">
        <f>IFERROR(__xludf.DUMMYFUNCTION("""COMPUTED_VALUE"""),"GENEPIO:0101491")</f>
        <v>GENEPIO:0101491</v>
      </c>
      <c r="D1212" s="29" t="str">
        <f>IFERROR(__xludf.DUMMYFUNCTION("""COMPUTED_VALUE"""),"A gene that encodes the DNA-directed RNA polymerase 19 kDa subunit protein (MPOX).")</f>
        <v>A gene that encodes the DNA-directed RNA polymerase 19 kDa subunit protein (MPOX).</v>
      </c>
      <c r="H1212" s="52" t="s">
        <v>30</v>
      </c>
      <c r="I1212" s="52" t="s">
        <v>30</v>
      </c>
      <c r="J1212" s="52" t="s">
        <v>30</v>
      </c>
      <c r="K1212" s="52" t="str">
        <f t="shared" si="73"/>
        <v>International</v>
      </c>
      <c r="M1212" s="55"/>
    </row>
    <row r="1213">
      <c r="A1213" s="53"/>
      <c r="B1213" s="50" t="str">
        <f>IFERROR(__xludf.DUMMYFUNCTION("""COMPUTED_VALUE"""),"opg132 gene (MPOX)                    ")</f>
        <v>opg132 gene (MPOX)                    </v>
      </c>
      <c r="C1213" s="59" t="str">
        <f>IFERROR(__xludf.DUMMYFUNCTION("""COMPUTED_VALUE"""),"GENEPIO:0101492")</f>
        <v>GENEPIO:0101492</v>
      </c>
      <c r="D1213" s="29" t="str">
        <f>IFERROR(__xludf.DUMMYFUNCTION("""COMPUTED_VALUE"""),"A gene that encodes the Virion morphogenesis protein (MPOX).")</f>
        <v>A gene that encodes the Virion morphogenesis protein (MPOX).</v>
      </c>
      <c r="H1213" s="52" t="s">
        <v>30</v>
      </c>
      <c r="I1213" s="52" t="s">
        <v>30</v>
      </c>
      <c r="J1213" s="52" t="s">
        <v>30</v>
      </c>
      <c r="K1213" s="52" t="str">
        <f t="shared" si="73"/>
        <v>International</v>
      </c>
      <c r="M1213" s="55"/>
    </row>
    <row r="1214">
      <c r="A1214" s="53"/>
      <c r="B1214" s="50" t="str">
        <f>IFERROR(__xludf.DUMMYFUNCTION("""COMPUTED_VALUE"""),"opg133 gene (MPOX)                    ")</f>
        <v>opg133 gene (MPOX)                    </v>
      </c>
      <c r="C1214" s="59" t="str">
        <f>IFERROR(__xludf.DUMMYFUNCTION("""COMPUTED_VALUE"""),"GENEPIO:0101493")</f>
        <v>GENEPIO:0101493</v>
      </c>
      <c r="D1214" s="29" t="str">
        <f>IFERROR(__xludf.DUMMYFUNCTION("""COMPUTED_VALUE"""),"A gene that encodes the Early transcription factor 82 kDa subunit protein (MPOX).")</f>
        <v>A gene that encodes the Early transcription factor 82 kDa subunit protein (MPOX).</v>
      </c>
      <c r="H1214" s="52" t="s">
        <v>30</v>
      </c>
      <c r="I1214" s="52" t="s">
        <v>30</v>
      </c>
      <c r="J1214" s="52" t="s">
        <v>30</v>
      </c>
      <c r="K1214" s="52" t="str">
        <f t="shared" si="73"/>
        <v>International</v>
      </c>
      <c r="M1214" s="55"/>
    </row>
    <row r="1215">
      <c r="A1215" s="53"/>
      <c r="B1215" s="50" t="str">
        <f>IFERROR(__xludf.DUMMYFUNCTION("""COMPUTED_VALUE"""),"opg134 gene (MPOX)                    ")</f>
        <v>opg134 gene (MPOX)                    </v>
      </c>
      <c r="C1215" s="59" t="str">
        <f>IFERROR(__xludf.DUMMYFUNCTION("""COMPUTED_VALUE"""),"GENEPIO:0101494")</f>
        <v>GENEPIO:0101494</v>
      </c>
      <c r="D1215" s="29" t="str">
        <f>IFERROR(__xludf.DUMMYFUNCTION("""COMPUTED_VALUE"""),"A gene that encodes the Intermediate transcription factor VITF-3 (1) protein (MPOX).")</f>
        <v>A gene that encodes the Intermediate transcription factor VITF-3 (1) protein (MPOX).</v>
      </c>
      <c r="H1215" s="52" t="s">
        <v>30</v>
      </c>
      <c r="I1215" s="52" t="s">
        <v>30</v>
      </c>
      <c r="J1215" s="52" t="s">
        <v>30</v>
      </c>
      <c r="K1215" s="52" t="str">
        <f t="shared" si="73"/>
        <v>International</v>
      </c>
      <c r="M1215" s="55"/>
    </row>
    <row r="1216">
      <c r="A1216" s="53"/>
      <c r="B1216" s="50" t="str">
        <f>IFERROR(__xludf.DUMMYFUNCTION("""COMPUTED_VALUE"""),"opg135 gene (MPOX)                    ")</f>
        <v>opg135 gene (MPOX)                    </v>
      </c>
      <c r="C1216" s="59" t="str">
        <f>IFERROR(__xludf.DUMMYFUNCTION("""COMPUTED_VALUE"""),"GENEPIO:0101495")</f>
        <v>GENEPIO:0101495</v>
      </c>
      <c r="D1216" s="29" t="str">
        <f>IFERROR(__xludf.DUMMYFUNCTION("""COMPUTED_VALUE"""),"A gene that encodes the IMV membrane protein A9 (MPOX).")</f>
        <v>A gene that encodes the IMV membrane protein A9 (MPOX).</v>
      </c>
      <c r="H1216" s="52" t="s">
        <v>30</v>
      </c>
      <c r="I1216" s="52" t="s">
        <v>30</v>
      </c>
      <c r="J1216" s="52" t="s">
        <v>30</v>
      </c>
      <c r="K1216" s="52" t="str">
        <f t="shared" si="73"/>
        <v>International</v>
      </c>
      <c r="M1216" s="55"/>
    </row>
    <row r="1217">
      <c r="A1217" s="53"/>
      <c r="B1217" s="50" t="str">
        <f>IFERROR(__xludf.DUMMYFUNCTION("""COMPUTED_VALUE"""),"opg136 gene (MPOX)                    ")</f>
        <v>opg136 gene (MPOX)                    </v>
      </c>
      <c r="C1217" s="59" t="str">
        <f>IFERROR(__xludf.DUMMYFUNCTION("""COMPUTED_VALUE"""),"GENEPIO:0101496")</f>
        <v>GENEPIO:0101496</v>
      </c>
      <c r="D1217" s="29" t="str">
        <f>IFERROR(__xludf.DUMMYFUNCTION("""COMPUTED_VALUE"""),"A gene that encodes the Virion core protein P4a (MPOX).")</f>
        <v>A gene that encodes the Virion core protein P4a (MPOX).</v>
      </c>
      <c r="H1217" s="52" t="s">
        <v>30</v>
      </c>
      <c r="I1217" s="52" t="s">
        <v>30</v>
      </c>
      <c r="J1217" s="52" t="s">
        <v>30</v>
      </c>
      <c r="K1217" s="52" t="str">
        <f t="shared" si="73"/>
        <v>International</v>
      </c>
      <c r="M1217" s="55"/>
    </row>
    <row r="1218">
      <c r="A1218" s="53"/>
      <c r="B1218" s="50" t="str">
        <f>IFERROR(__xludf.DUMMYFUNCTION("""COMPUTED_VALUE"""),"opg137 gene (MPOX)                    ")</f>
        <v>opg137 gene (MPOX)                    </v>
      </c>
      <c r="C1218" s="59" t="str">
        <f>IFERROR(__xludf.DUMMYFUNCTION("""COMPUTED_VALUE"""),"GENEPIO:0101497")</f>
        <v>GENEPIO:0101497</v>
      </c>
      <c r="D1218" s="29" t="str">
        <f>IFERROR(__xludf.DUMMYFUNCTION("""COMPUTED_VALUE"""),"A gene that encodes the Viral membrane formation protein (MPOX).")</f>
        <v>A gene that encodes the Viral membrane formation protein (MPOX).</v>
      </c>
      <c r="H1218" s="52" t="s">
        <v>30</v>
      </c>
      <c r="I1218" s="52" t="s">
        <v>30</v>
      </c>
      <c r="J1218" s="52" t="s">
        <v>30</v>
      </c>
      <c r="K1218" s="52" t="str">
        <f t="shared" si="73"/>
        <v>International</v>
      </c>
      <c r="M1218" s="55"/>
    </row>
    <row r="1219">
      <c r="A1219" s="53"/>
      <c r="B1219" s="50" t="str">
        <f>IFERROR(__xludf.DUMMYFUNCTION("""COMPUTED_VALUE"""),"opg138 gene (MPOX)                    ")</f>
        <v>opg138 gene (MPOX)                    </v>
      </c>
      <c r="C1219" s="59" t="str">
        <f>IFERROR(__xludf.DUMMYFUNCTION("""COMPUTED_VALUE"""),"GENEPIO:0101498")</f>
        <v>GENEPIO:0101498</v>
      </c>
      <c r="D1219" s="29" t="str">
        <f>IFERROR(__xludf.DUMMYFUNCTION("""COMPUTED_VALUE"""),"A gene that encodes the A12 protein (MPOX).")</f>
        <v>A gene that encodes the A12 protein (MPOX).</v>
      </c>
      <c r="H1219" s="52" t="s">
        <v>30</v>
      </c>
      <c r="I1219" s="52" t="s">
        <v>30</v>
      </c>
      <c r="J1219" s="52" t="s">
        <v>30</v>
      </c>
      <c r="K1219" s="52" t="str">
        <f t="shared" si="73"/>
        <v>International</v>
      </c>
      <c r="M1219" s="55"/>
    </row>
    <row r="1220">
      <c r="A1220" s="53"/>
      <c r="B1220" s="50" t="str">
        <f>IFERROR(__xludf.DUMMYFUNCTION("""COMPUTED_VALUE"""),"opg139 gene (MPOX)                    ")</f>
        <v>opg139 gene (MPOX)                    </v>
      </c>
      <c r="C1220" s="59" t="str">
        <f>IFERROR(__xludf.DUMMYFUNCTION("""COMPUTED_VALUE"""),"GENEPIO:0101499")</f>
        <v>GENEPIO:0101499</v>
      </c>
      <c r="D1220" s="29" t="str">
        <f>IFERROR(__xludf.DUMMYFUNCTION("""COMPUTED_VALUE"""),"A gene that encodes the IMV membrane protein A13L (MPOX).")</f>
        <v>A gene that encodes the IMV membrane protein A13L (MPOX).</v>
      </c>
      <c r="H1220" s="52" t="s">
        <v>30</v>
      </c>
      <c r="I1220" s="52" t="s">
        <v>30</v>
      </c>
      <c r="J1220" s="52" t="s">
        <v>30</v>
      </c>
      <c r="K1220" s="52" t="str">
        <f t="shared" si="73"/>
        <v>International</v>
      </c>
      <c r="M1220" s="55"/>
    </row>
    <row r="1221">
      <c r="A1221" s="53"/>
      <c r="B1221" s="50" t="str">
        <f>IFERROR(__xludf.DUMMYFUNCTION("""COMPUTED_VALUE"""),"opg140 gene (MPOX)                    ")</f>
        <v>opg140 gene (MPOX)                    </v>
      </c>
      <c r="C1221" s="59" t="str">
        <f>IFERROR(__xludf.DUMMYFUNCTION("""COMPUTED_VALUE"""),"GENEPIO:0101500")</f>
        <v>GENEPIO:0101500</v>
      </c>
      <c r="D1221" s="29" t="str">
        <f>IFERROR(__xludf.DUMMYFUNCTION("""COMPUTED_VALUE"""),"A gene that encodes the IMV membrane protein A14 (MPOX).")</f>
        <v>A gene that encodes the IMV membrane protein A14 (MPOX).</v>
      </c>
      <c r="H1221" s="52" t="s">
        <v>30</v>
      </c>
      <c r="I1221" s="52" t="s">
        <v>30</v>
      </c>
      <c r="J1221" s="52" t="s">
        <v>30</v>
      </c>
      <c r="K1221" s="52" t="str">
        <f t="shared" si="73"/>
        <v>International</v>
      </c>
      <c r="M1221" s="55"/>
    </row>
    <row r="1222">
      <c r="A1222" s="53"/>
      <c r="B1222" s="50" t="str">
        <f>IFERROR(__xludf.DUMMYFUNCTION("""COMPUTED_VALUE"""),"opg141 gene (MPOX)                    ")</f>
        <v>opg141 gene (MPOX)                    </v>
      </c>
      <c r="C1222" s="59" t="str">
        <f>IFERROR(__xludf.DUMMYFUNCTION("""COMPUTED_VALUE"""),"GENEPIO:0101501")</f>
        <v>GENEPIO:0101501</v>
      </c>
      <c r="D1222" s="29" t="str">
        <f>IFERROR(__xludf.DUMMYFUNCTION("""COMPUTED_VALUE"""),"A gene that encodes the DUF1029 domain protein (MPOX).")</f>
        <v>A gene that encodes the DUF1029 domain protein (MPOX).</v>
      </c>
      <c r="H1222" s="52" t="s">
        <v>30</v>
      </c>
      <c r="I1222" s="52" t="s">
        <v>30</v>
      </c>
      <c r="J1222" s="52" t="s">
        <v>30</v>
      </c>
      <c r="K1222" s="52" t="str">
        <f t="shared" si="73"/>
        <v>International</v>
      </c>
      <c r="M1222" s="55"/>
    </row>
    <row r="1223">
      <c r="A1223" s="53"/>
      <c r="B1223" s="50" t="str">
        <f>IFERROR(__xludf.DUMMYFUNCTION("""COMPUTED_VALUE"""),"opg142 gene (MPOX)                    ")</f>
        <v>opg142 gene (MPOX)                    </v>
      </c>
      <c r="C1223" s="59" t="str">
        <f>IFERROR(__xludf.DUMMYFUNCTION("""COMPUTED_VALUE"""),"GENEPIO:0101502")</f>
        <v>GENEPIO:0101502</v>
      </c>
      <c r="D1223" s="29" t="str">
        <f>IFERROR(__xludf.DUMMYFUNCTION("""COMPUTED_VALUE"""),"A gene that encodes the Core protein A15 (MPOX).")</f>
        <v>A gene that encodes the Core protein A15 (MPOX).</v>
      </c>
      <c r="H1223" s="52" t="s">
        <v>30</v>
      </c>
      <c r="I1223" s="52" t="s">
        <v>30</v>
      </c>
      <c r="J1223" s="52" t="s">
        <v>30</v>
      </c>
      <c r="K1223" s="52" t="str">
        <f t="shared" si="73"/>
        <v>International</v>
      </c>
      <c r="M1223" s="55"/>
    </row>
    <row r="1224">
      <c r="A1224" s="53"/>
      <c r="B1224" s="50" t="str">
        <f>IFERROR(__xludf.DUMMYFUNCTION("""COMPUTED_VALUE"""),"opg143 gene (MPOX)                    ")</f>
        <v>opg143 gene (MPOX)                    </v>
      </c>
      <c r="C1224" s="59" t="str">
        <f>IFERROR(__xludf.DUMMYFUNCTION("""COMPUTED_VALUE"""),"GENEPIO:0101503")</f>
        <v>GENEPIO:0101503</v>
      </c>
      <c r="D1224" s="29" t="str">
        <f>IFERROR(__xludf.DUMMYFUNCTION("""COMPUTED_VALUE"""),"A gene that encodes the Myristylated protein (MPOX).")</f>
        <v>A gene that encodes the Myristylated protein (MPOX).</v>
      </c>
      <c r="H1224" s="52" t="s">
        <v>30</v>
      </c>
      <c r="I1224" s="52" t="s">
        <v>30</v>
      </c>
      <c r="J1224" s="52" t="s">
        <v>30</v>
      </c>
      <c r="K1224" s="52" t="str">
        <f t="shared" si="73"/>
        <v>International</v>
      </c>
      <c r="M1224" s="55"/>
    </row>
    <row r="1225">
      <c r="A1225" s="53"/>
      <c r="B1225" s="50" t="str">
        <f>IFERROR(__xludf.DUMMYFUNCTION("""COMPUTED_VALUE"""),"opg144 gene (MPOX)                    ")</f>
        <v>opg144 gene (MPOX)                    </v>
      </c>
      <c r="C1225" s="59" t="str">
        <f>IFERROR(__xludf.DUMMYFUNCTION("""COMPUTED_VALUE"""),"GENEPIO:0101504")</f>
        <v>GENEPIO:0101504</v>
      </c>
      <c r="D1225" s="29" t="str">
        <f>IFERROR(__xludf.DUMMYFUNCTION("""COMPUTED_VALUE"""),"A gene that encodes the IMV membrane protein P21 (MPOX).")</f>
        <v>A gene that encodes the IMV membrane protein P21 (MPOX).</v>
      </c>
      <c r="H1225" s="52" t="s">
        <v>30</v>
      </c>
      <c r="I1225" s="52" t="s">
        <v>30</v>
      </c>
      <c r="J1225" s="52" t="s">
        <v>30</v>
      </c>
      <c r="K1225" s="52" t="str">
        <f t="shared" si="73"/>
        <v>International</v>
      </c>
      <c r="M1225" s="55"/>
    </row>
    <row r="1226">
      <c r="A1226" s="53"/>
      <c r="B1226" s="50" t="str">
        <f>IFERROR(__xludf.DUMMYFUNCTION("""COMPUTED_VALUE"""),"opg145 gene (MPOX)                    ")</f>
        <v>opg145 gene (MPOX)                    </v>
      </c>
      <c r="C1226" s="59" t="str">
        <f>IFERROR(__xludf.DUMMYFUNCTION("""COMPUTED_VALUE"""),"GENEPIO:0101505")</f>
        <v>GENEPIO:0101505</v>
      </c>
      <c r="D1226" s="29" t="str">
        <f>IFERROR(__xludf.DUMMYFUNCTION("""COMPUTED_VALUE"""),"A gene that encodes the DNA helicase protein (MPOX).")</f>
        <v>A gene that encodes the DNA helicase protein (MPOX).</v>
      </c>
      <c r="H1226" s="52" t="s">
        <v>30</v>
      </c>
      <c r="I1226" s="52" t="s">
        <v>30</v>
      </c>
      <c r="J1226" s="52" t="s">
        <v>30</v>
      </c>
      <c r="K1226" s="52" t="str">
        <f t="shared" si="73"/>
        <v>International</v>
      </c>
      <c r="M1226" s="55"/>
    </row>
    <row r="1227">
      <c r="A1227" s="53"/>
      <c r="B1227" s="50" t="str">
        <f>IFERROR(__xludf.DUMMYFUNCTION("""COMPUTED_VALUE"""),"opg146 gene (MPOX)                    ")</f>
        <v>opg146 gene (MPOX)                    </v>
      </c>
      <c r="C1227" s="59" t="str">
        <f>IFERROR(__xludf.DUMMYFUNCTION("""COMPUTED_VALUE"""),"GENEPIO:0101506")</f>
        <v>GENEPIO:0101506</v>
      </c>
      <c r="D1227" s="29" t="str">
        <f>IFERROR(__xludf.DUMMYFUNCTION("""COMPUTED_VALUE"""),"A gene that encodes the Zinc finger-like protein (1) (MPOX).")</f>
        <v>A gene that encodes the Zinc finger-like protein (1) (MPOX).</v>
      </c>
      <c r="H1227" s="52" t="s">
        <v>30</v>
      </c>
      <c r="I1227" s="52" t="s">
        <v>30</v>
      </c>
      <c r="J1227" s="52" t="s">
        <v>30</v>
      </c>
      <c r="K1227" s="52" t="str">
        <f t="shared" si="73"/>
        <v>International</v>
      </c>
      <c r="M1227" s="55"/>
    </row>
    <row r="1228">
      <c r="A1228" s="53"/>
      <c r="B1228" s="50" t="str">
        <f>IFERROR(__xludf.DUMMYFUNCTION("""COMPUTED_VALUE"""),"opg147 gene (MPOX)                    ")</f>
        <v>opg147 gene (MPOX)                    </v>
      </c>
      <c r="C1228" s="59" t="str">
        <f>IFERROR(__xludf.DUMMYFUNCTION("""COMPUTED_VALUE"""),"GENEPIO:0101507")</f>
        <v>GENEPIO:0101507</v>
      </c>
      <c r="D1228" s="29" t="str">
        <f>IFERROR(__xludf.DUMMYFUNCTION("""COMPUTED_VALUE"""),"A gene that encodes the IMV membrane protein A21 (MPOX).")</f>
        <v>A gene that encodes the IMV membrane protein A21 (MPOX).</v>
      </c>
      <c r="H1228" s="52" t="s">
        <v>30</v>
      </c>
      <c r="I1228" s="52" t="s">
        <v>30</v>
      </c>
      <c r="J1228" s="52" t="s">
        <v>30</v>
      </c>
      <c r="K1228" s="52" t="str">
        <f t="shared" si="73"/>
        <v>International</v>
      </c>
      <c r="M1228" s="55"/>
    </row>
    <row r="1229">
      <c r="A1229" s="53"/>
      <c r="B1229" s="50" t="str">
        <f>IFERROR(__xludf.DUMMYFUNCTION("""COMPUTED_VALUE"""),"opg148 gene (MPOX)                    ")</f>
        <v>opg148 gene (MPOX)                    </v>
      </c>
      <c r="C1229" s="59" t="str">
        <f>IFERROR(__xludf.DUMMYFUNCTION("""COMPUTED_VALUE"""),"GENEPIO:0101508")</f>
        <v>GENEPIO:0101508</v>
      </c>
      <c r="D1229" s="29" t="str">
        <f>IFERROR(__xludf.DUMMYFUNCTION("""COMPUTED_VALUE"""),"A gene that encodes the DNA polymerase processivity factor protein (MPOX).")</f>
        <v>A gene that encodes the DNA polymerase processivity factor protein (MPOX).</v>
      </c>
      <c r="H1229" s="52" t="s">
        <v>30</v>
      </c>
      <c r="I1229" s="52" t="s">
        <v>30</v>
      </c>
      <c r="J1229" s="52" t="s">
        <v>30</v>
      </c>
      <c r="K1229" s="52" t="str">
        <f t="shared" si="73"/>
        <v>International</v>
      </c>
      <c r="M1229" s="55"/>
    </row>
    <row r="1230">
      <c r="A1230" s="53"/>
      <c r="B1230" s="50" t="str">
        <f>IFERROR(__xludf.DUMMYFUNCTION("""COMPUTED_VALUE"""),"opg149 gene (MPOX)                    ")</f>
        <v>opg149 gene (MPOX)                    </v>
      </c>
      <c r="C1230" s="59" t="str">
        <f>IFERROR(__xludf.DUMMYFUNCTION("""COMPUTED_VALUE"""),"GENEPIO:0101509")</f>
        <v>GENEPIO:0101509</v>
      </c>
      <c r="D1230" s="29" t="str">
        <f>IFERROR(__xludf.DUMMYFUNCTION("""COMPUTED_VALUE"""),"A gene that encodes the Holliday junction resolvase protein (MPOX).")</f>
        <v>A gene that encodes the Holliday junction resolvase protein (MPOX).</v>
      </c>
      <c r="H1230" s="52" t="s">
        <v>30</v>
      </c>
      <c r="I1230" s="52" t="s">
        <v>30</v>
      </c>
      <c r="J1230" s="52" t="s">
        <v>30</v>
      </c>
      <c r="K1230" s="52" t="str">
        <f t="shared" si="73"/>
        <v>International</v>
      </c>
      <c r="M1230" s="55"/>
    </row>
    <row r="1231">
      <c r="A1231" s="53"/>
      <c r="B1231" s="50" t="str">
        <f>IFERROR(__xludf.DUMMYFUNCTION("""COMPUTED_VALUE"""),"opg150 gene (MPOX)                    ")</f>
        <v>opg150 gene (MPOX)                    </v>
      </c>
      <c r="C1231" s="59" t="str">
        <f>IFERROR(__xludf.DUMMYFUNCTION("""COMPUTED_VALUE"""),"GENEPIO:0101510")</f>
        <v>GENEPIO:0101510</v>
      </c>
      <c r="D1231" s="29" t="str">
        <f>IFERROR(__xludf.DUMMYFUNCTION("""COMPUTED_VALUE"""),"A gene that encodes the Intermediate transcription factor VITF-3 (2) protein (MPOX).")</f>
        <v>A gene that encodes the Intermediate transcription factor VITF-3 (2) protein (MPOX).</v>
      </c>
      <c r="H1231" s="52" t="s">
        <v>30</v>
      </c>
      <c r="I1231" s="52" t="s">
        <v>30</v>
      </c>
      <c r="J1231" s="52" t="s">
        <v>30</v>
      </c>
      <c r="K1231" s="52" t="str">
        <f t="shared" si="73"/>
        <v>International</v>
      </c>
      <c r="M1231" s="55"/>
    </row>
    <row r="1232">
      <c r="A1232" s="53"/>
      <c r="B1232" s="50" t="str">
        <f>IFERROR(__xludf.DUMMYFUNCTION("""COMPUTED_VALUE"""),"opg151 gene (MPOX)                    ")</f>
        <v>opg151 gene (MPOX)                    </v>
      </c>
      <c r="C1232" s="59" t="str">
        <f>IFERROR(__xludf.DUMMYFUNCTION("""COMPUTED_VALUE"""),"GENEPIO:0101511")</f>
        <v>GENEPIO:0101511</v>
      </c>
      <c r="D1232" s="29" t="str">
        <f>IFERROR(__xludf.DUMMYFUNCTION("""COMPUTED_VALUE"""),"A gene that encodes the DNA-dependent RNA polymerase subunit rpo132 protein (MPOX).")</f>
        <v>A gene that encodes the DNA-dependent RNA polymerase subunit rpo132 protein (MPOX).</v>
      </c>
      <c r="H1232" s="52" t="s">
        <v>30</v>
      </c>
      <c r="I1232" s="52" t="s">
        <v>30</v>
      </c>
      <c r="J1232" s="52" t="s">
        <v>30</v>
      </c>
      <c r="K1232" s="52" t="str">
        <f t="shared" si="73"/>
        <v>International</v>
      </c>
      <c r="M1232" s="55"/>
    </row>
    <row r="1233">
      <c r="A1233" s="53"/>
      <c r="B1233" s="50" t="str">
        <f>IFERROR(__xludf.DUMMYFUNCTION("""COMPUTED_VALUE"""),"opg153 gene (MPOX)                    ")</f>
        <v>opg153 gene (MPOX)                    </v>
      </c>
      <c r="C1233" s="59" t="str">
        <f>IFERROR(__xludf.DUMMYFUNCTION("""COMPUTED_VALUE"""),"GENEPIO:0101512")</f>
        <v>GENEPIO:0101512</v>
      </c>
      <c r="D1233" s="29" t="str">
        <f>IFERROR(__xludf.DUMMYFUNCTION("""COMPUTED_VALUE"""),"A gene that encodes the Orthopoxvirus A26L/A30L protein (MPOX).")</f>
        <v>A gene that encodes the Orthopoxvirus A26L/A30L protein (MPOX).</v>
      </c>
      <c r="H1233" s="52" t="s">
        <v>30</v>
      </c>
      <c r="I1233" s="52" t="s">
        <v>30</v>
      </c>
      <c r="J1233" s="52" t="s">
        <v>30</v>
      </c>
      <c r="K1233" s="52" t="str">
        <f t="shared" si="73"/>
        <v>International</v>
      </c>
      <c r="M1233" s="55"/>
    </row>
    <row r="1234">
      <c r="A1234" s="53"/>
      <c r="B1234" s="50" t="str">
        <f>IFERROR(__xludf.DUMMYFUNCTION("""COMPUTED_VALUE"""),"opg154 gene (MPOX)                    ")</f>
        <v>opg154 gene (MPOX)                    </v>
      </c>
      <c r="C1234" s="59" t="str">
        <f>IFERROR(__xludf.DUMMYFUNCTION("""COMPUTED_VALUE"""),"GENEPIO:0101513")</f>
        <v>GENEPIO:0101513</v>
      </c>
      <c r="D1234" s="29" t="str">
        <f>IFERROR(__xludf.DUMMYFUNCTION("""COMPUTED_VALUE"""),"A gene that encodes the IMV surface fusion protein (MPOX).")</f>
        <v>A gene that encodes the IMV surface fusion protein (MPOX).</v>
      </c>
      <c r="H1234" s="52" t="s">
        <v>30</v>
      </c>
      <c r="I1234" s="52" t="s">
        <v>30</v>
      </c>
      <c r="J1234" s="52" t="s">
        <v>30</v>
      </c>
      <c r="K1234" s="52" t="str">
        <f t="shared" si="73"/>
        <v>International</v>
      </c>
      <c r="M1234" s="55"/>
    </row>
    <row r="1235">
      <c r="A1235" s="53"/>
      <c r="B1235" s="50" t="str">
        <f>IFERROR(__xludf.DUMMYFUNCTION("""COMPUTED_VALUE"""),"opg155 gene (MPOX)                    ")</f>
        <v>opg155 gene (MPOX)                    </v>
      </c>
      <c r="C1235" s="59" t="str">
        <f>IFERROR(__xludf.DUMMYFUNCTION("""COMPUTED_VALUE"""),"GENEPIO:0101514")</f>
        <v>GENEPIO:0101514</v>
      </c>
      <c r="D1235" s="29" t="str">
        <f>IFERROR(__xludf.DUMMYFUNCTION("""COMPUTED_VALUE"""),"A gene that encodes the Envelope protein A28 homolog (MPOX).")</f>
        <v>A gene that encodes the Envelope protein A28 homolog (MPOX).</v>
      </c>
      <c r="H1235" s="52" t="s">
        <v>30</v>
      </c>
      <c r="I1235" s="52" t="s">
        <v>30</v>
      </c>
      <c r="J1235" s="52" t="s">
        <v>30</v>
      </c>
      <c r="K1235" s="52" t="str">
        <f t="shared" si="73"/>
        <v>International</v>
      </c>
      <c r="M1235" s="55"/>
    </row>
    <row r="1236">
      <c r="A1236" s="53"/>
      <c r="B1236" s="50" t="str">
        <f>IFERROR(__xludf.DUMMYFUNCTION("""COMPUTED_VALUE"""),"opg156 gene (MPOX)                    ")</f>
        <v>opg156 gene (MPOX)                    </v>
      </c>
      <c r="C1236" s="59" t="str">
        <f>IFERROR(__xludf.DUMMYFUNCTION("""COMPUTED_VALUE"""),"GENEPIO:0101515")</f>
        <v>GENEPIO:0101515</v>
      </c>
      <c r="D1236" s="29" t="str">
        <f>IFERROR(__xludf.DUMMYFUNCTION("""COMPUTED_VALUE"""),"A gene that encodes the DNA-directed RNA polymerase 35 kDa subunit protein (MPOX).")</f>
        <v>A gene that encodes the DNA-directed RNA polymerase 35 kDa subunit protein (MPOX).</v>
      </c>
      <c r="H1236" s="52" t="s">
        <v>30</v>
      </c>
      <c r="I1236" s="52" t="s">
        <v>30</v>
      </c>
      <c r="J1236" s="52" t="s">
        <v>30</v>
      </c>
      <c r="K1236" s="52" t="str">
        <f t="shared" si="73"/>
        <v>International</v>
      </c>
      <c r="M1236" s="55"/>
    </row>
    <row r="1237">
      <c r="A1237" s="53"/>
      <c r="B1237" s="50" t="str">
        <f>IFERROR(__xludf.DUMMYFUNCTION("""COMPUTED_VALUE"""),"opg157 gene (MPOX)                    ")</f>
        <v>opg157 gene (MPOX)                    </v>
      </c>
      <c r="C1237" s="59" t="str">
        <f>IFERROR(__xludf.DUMMYFUNCTION("""COMPUTED_VALUE"""),"GENEPIO:0101516")</f>
        <v>GENEPIO:0101516</v>
      </c>
      <c r="D1237" s="29" t="str">
        <f>IFERROR(__xludf.DUMMYFUNCTION("""COMPUTED_VALUE"""),"A gene that encodes the IMV membrane protein A30 (MPOX).")</f>
        <v>A gene that encodes the IMV membrane protein A30 (MPOX).</v>
      </c>
      <c r="H1237" s="52" t="s">
        <v>30</v>
      </c>
      <c r="I1237" s="52" t="s">
        <v>30</v>
      </c>
      <c r="J1237" s="52" t="s">
        <v>30</v>
      </c>
      <c r="K1237" s="52" t="str">
        <f t="shared" si="73"/>
        <v>International</v>
      </c>
      <c r="M1237" s="55"/>
    </row>
    <row r="1238">
      <c r="A1238" s="53"/>
      <c r="B1238" s="50" t="str">
        <f>IFERROR(__xludf.DUMMYFUNCTION("""COMPUTED_VALUE"""),"opg158 gene (MPOX)                    ")</f>
        <v>opg158 gene (MPOX)                    </v>
      </c>
      <c r="C1238" s="59" t="str">
        <f>IFERROR(__xludf.DUMMYFUNCTION("""COMPUTED_VALUE"""),"GENEPIO:0101517")</f>
        <v>GENEPIO:0101517</v>
      </c>
      <c r="D1238" s="29" t="str">
        <f>IFERROR(__xludf.DUMMYFUNCTION("""COMPUTED_VALUE"""),"A gene that encodes the A32.5L protein (MPOX).")</f>
        <v>A gene that encodes the A32.5L protein (MPOX).</v>
      </c>
      <c r="H1238" s="52" t="s">
        <v>30</v>
      </c>
      <c r="I1238" s="52" t="s">
        <v>30</v>
      </c>
      <c r="J1238" s="52" t="s">
        <v>30</v>
      </c>
      <c r="K1238" s="52" t="str">
        <f t="shared" si="73"/>
        <v>International</v>
      </c>
      <c r="M1238" s="55"/>
    </row>
    <row r="1239">
      <c r="A1239" s="53"/>
      <c r="B1239" s="50" t="str">
        <f>IFERROR(__xludf.DUMMYFUNCTION("""COMPUTED_VALUE"""),"opg159 gene (MPOX)                    ")</f>
        <v>opg159 gene (MPOX)                    </v>
      </c>
      <c r="C1239" s="59" t="str">
        <f>IFERROR(__xludf.DUMMYFUNCTION("""COMPUTED_VALUE"""),"GENEPIO:0101518")</f>
        <v>GENEPIO:0101518</v>
      </c>
      <c r="D1239" s="29" t="str">
        <f>IFERROR(__xludf.DUMMYFUNCTION("""COMPUTED_VALUE"""),"A gene that encodes the CPXV166 protein (MPOX).")</f>
        <v>A gene that encodes the CPXV166 protein (MPOX).</v>
      </c>
      <c r="H1239" s="52" t="s">
        <v>30</v>
      </c>
      <c r="I1239" s="52" t="s">
        <v>30</v>
      </c>
      <c r="J1239" s="52" t="s">
        <v>30</v>
      </c>
      <c r="K1239" s="52" t="str">
        <f t="shared" si="73"/>
        <v>International</v>
      </c>
      <c r="M1239" s="55"/>
    </row>
    <row r="1240">
      <c r="A1240" s="53"/>
      <c r="B1240" s="50" t="str">
        <f>IFERROR(__xludf.DUMMYFUNCTION("""COMPUTED_VALUE"""),"opg160 gene (MPOX)                    ")</f>
        <v>opg160 gene (MPOX)                    </v>
      </c>
      <c r="C1240" s="59" t="str">
        <f>IFERROR(__xludf.DUMMYFUNCTION("""COMPUTED_VALUE"""),"GENEPIO:0101519")</f>
        <v>GENEPIO:0101519</v>
      </c>
      <c r="D1240" s="29" t="str">
        <f>IFERROR(__xludf.DUMMYFUNCTION("""COMPUTED_VALUE"""),"A gene that encodes the ATPase A32 protein (MPOX).")</f>
        <v>A gene that encodes the ATPase A32 protein (MPOX).</v>
      </c>
      <c r="H1240" s="52" t="s">
        <v>30</v>
      </c>
      <c r="I1240" s="52" t="s">
        <v>30</v>
      </c>
      <c r="J1240" s="52" t="s">
        <v>30</v>
      </c>
      <c r="K1240" s="52" t="str">
        <f t="shared" si="73"/>
        <v>International</v>
      </c>
      <c r="M1240" s="55"/>
    </row>
    <row r="1241">
      <c r="A1241" s="53"/>
      <c r="B1241" s="50" t="str">
        <f>IFERROR(__xludf.DUMMYFUNCTION("""COMPUTED_VALUE"""),"opg161 gene (MPOX)                    ")</f>
        <v>opg161 gene (MPOX)                    </v>
      </c>
      <c r="C1241" s="59" t="str">
        <f>IFERROR(__xludf.DUMMYFUNCTION("""COMPUTED_VALUE"""),"GENEPIO:0101520")</f>
        <v>GENEPIO:0101520</v>
      </c>
      <c r="D1241" s="29" t="str">
        <f>IFERROR(__xludf.DUMMYFUNCTION("""COMPUTED_VALUE"""),"A gene that encodes the EEV glycoprotein (1) (MPOX).")</f>
        <v>A gene that encodes the EEV glycoprotein (1) (MPOX).</v>
      </c>
      <c r="H1241" s="52" t="s">
        <v>30</v>
      </c>
      <c r="I1241" s="52" t="s">
        <v>30</v>
      </c>
      <c r="J1241" s="52" t="s">
        <v>30</v>
      </c>
      <c r="K1241" s="52" t="str">
        <f t="shared" si="73"/>
        <v>International</v>
      </c>
      <c r="M1241" s="55"/>
    </row>
    <row r="1242">
      <c r="A1242" s="53"/>
      <c r="B1242" s="50" t="str">
        <f>IFERROR(__xludf.DUMMYFUNCTION("""COMPUTED_VALUE"""),"opg162 gene (MPOX)                    ")</f>
        <v>opg162 gene (MPOX)                    </v>
      </c>
      <c r="C1242" s="59" t="str">
        <f>IFERROR(__xludf.DUMMYFUNCTION("""COMPUTED_VALUE"""),"GENEPIO:0101521")</f>
        <v>GENEPIO:0101521</v>
      </c>
      <c r="D1242" s="29" t="str">
        <f>IFERROR(__xludf.DUMMYFUNCTION("""COMPUTED_VALUE"""),"A gene that encodes the EEV glycoprotein (2) (MPOX).")</f>
        <v>A gene that encodes the EEV glycoprotein (2) (MPOX).</v>
      </c>
      <c r="H1242" s="52" t="s">
        <v>30</v>
      </c>
      <c r="I1242" s="52" t="s">
        <v>30</v>
      </c>
      <c r="J1242" s="52" t="s">
        <v>30</v>
      </c>
      <c r="K1242" s="52" t="str">
        <f t="shared" si="73"/>
        <v>International</v>
      </c>
      <c r="M1242" s="55"/>
    </row>
    <row r="1243">
      <c r="A1243" s="53"/>
      <c r="B1243" s="50" t="str">
        <f>IFERROR(__xludf.DUMMYFUNCTION("""COMPUTED_VALUE"""),"opg163 gene (MPOX)                    ")</f>
        <v>opg163 gene (MPOX)                    </v>
      </c>
      <c r="C1243" s="59" t="str">
        <f>IFERROR(__xludf.DUMMYFUNCTION("""COMPUTED_VALUE"""),"GENEPIO:0101522")</f>
        <v>GENEPIO:0101522</v>
      </c>
      <c r="D1243" s="29" t="str">
        <f>IFERROR(__xludf.DUMMYFUNCTION("""COMPUTED_VALUE"""),"A gene that encodes the MHC class II antigen presentation inhibitor protein (MPOX).")</f>
        <v>A gene that encodes the MHC class II antigen presentation inhibitor protein (MPOX).</v>
      </c>
      <c r="H1243" s="52" t="s">
        <v>30</v>
      </c>
      <c r="I1243" s="52" t="s">
        <v>30</v>
      </c>
      <c r="J1243" s="52" t="s">
        <v>30</v>
      </c>
      <c r="K1243" s="52" t="str">
        <f t="shared" si="73"/>
        <v>International</v>
      </c>
      <c r="M1243" s="55"/>
    </row>
    <row r="1244">
      <c r="A1244" s="53"/>
      <c r="B1244" s="50" t="str">
        <f>IFERROR(__xludf.DUMMYFUNCTION("""COMPUTED_VALUE"""),"opg164 gene (MPOX)                    ")</f>
        <v>opg164 gene (MPOX)                    </v>
      </c>
      <c r="C1244" s="59" t="str">
        <f>IFERROR(__xludf.DUMMYFUNCTION("""COMPUTED_VALUE"""),"GENEPIO:0101523")</f>
        <v>GENEPIO:0101523</v>
      </c>
      <c r="D1244" s="29" t="str">
        <f>IFERROR(__xludf.DUMMYFUNCTION("""COMPUTED_VALUE"""),"A gene that encodes the IEV transmembrane phosphoprotein (MPOX).")</f>
        <v>A gene that encodes the IEV transmembrane phosphoprotein (MPOX).</v>
      </c>
      <c r="H1244" s="52" t="s">
        <v>30</v>
      </c>
      <c r="I1244" s="52" t="s">
        <v>30</v>
      </c>
      <c r="J1244" s="52" t="s">
        <v>30</v>
      </c>
      <c r="K1244" s="52" t="str">
        <f t="shared" si="73"/>
        <v>International</v>
      </c>
      <c r="M1244" s="55"/>
    </row>
    <row r="1245">
      <c r="A1245" s="53"/>
      <c r="B1245" s="50" t="str">
        <f>IFERROR(__xludf.DUMMYFUNCTION("""COMPUTED_VALUE"""),"opg165 gene (MPOX)                    ")</f>
        <v>opg165 gene (MPOX)                    </v>
      </c>
      <c r="C1245" s="59" t="str">
        <f>IFERROR(__xludf.DUMMYFUNCTION("""COMPUTED_VALUE"""),"GENEPIO:0101524")</f>
        <v>GENEPIO:0101524</v>
      </c>
      <c r="D1245" s="29" t="str">
        <f>IFERROR(__xludf.DUMMYFUNCTION("""COMPUTED_VALUE"""),"A gene that encodes the CPXV173 protein (MPOX).")</f>
        <v>A gene that encodes the CPXV173 protein (MPOX).</v>
      </c>
      <c r="H1245" s="52" t="s">
        <v>30</v>
      </c>
      <c r="I1245" s="52" t="s">
        <v>30</v>
      </c>
      <c r="J1245" s="52" t="s">
        <v>30</v>
      </c>
      <c r="K1245" s="52" t="str">
        <f t="shared" si="73"/>
        <v>International</v>
      </c>
      <c r="M1245" s="55"/>
    </row>
    <row r="1246">
      <c r="A1246" s="53"/>
      <c r="B1246" s="50" t="str">
        <f>IFERROR(__xludf.DUMMYFUNCTION("""COMPUTED_VALUE"""),"opg166 gene (MPOX)                    ")</f>
        <v>opg166 gene (MPOX)                    </v>
      </c>
      <c r="C1246" s="59" t="str">
        <f>IFERROR(__xludf.DUMMYFUNCTION("""COMPUTED_VALUE"""),"GENEPIO:0101525")</f>
        <v>GENEPIO:0101525</v>
      </c>
      <c r="D1246" s="29" t="str">
        <f>IFERROR(__xludf.DUMMYFUNCTION("""COMPUTED_VALUE"""),"A gene that encodes the hypothetical protein (MPOX).")</f>
        <v>A gene that encodes the hypothetical protein (MPOX).</v>
      </c>
      <c r="H1246" s="52" t="s">
        <v>30</v>
      </c>
      <c r="I1246" s="52" t="s">
        <v>30</v>
      </c>
      <c r="J1246" s="52" t="s">
        <v>30</v>
      </c>
      <c r="K1246" s="52" t="str">
        <f t="shared" si="73"/>
        <v>International</v>
      </c>
      <c r="M1246" s="55"/>
    </row>
    <row r="1247">
      <c r="A1247" s="53"/>
      <c r="B1247" s="50" t="str">
        <f>IFERROR(__xludf.DUMMYFUNCTION("""COMPUTED_VALUE"""),"opg167 gene (MPOX)                    ")</f>
        <v>opg167 gene (MPOX)                    </v>
      </c>
      <c r="C1247" s="59" t="str">
        <f>IFERROR(__xludf.DUMMYFUNCTION("""COMPUTED_VALUE"""),"GENEPIO:0101526")</f>
        <v>GENEPIO:0101526</v>
      </c>
      <c r="D1247" s="29" t="str">
        <f>IFERROR(__xludf.DUMMYFUNCTION("""COMPUTED_VALUE"""),"A gene that encodes the CD47-like protein (MPOX).")</f>
        <v>A gene that encodes the CD47-like protein (MPOX).</v>
      </c>
      <c r="H1247" s="52" t="s">
        <v>30</v>
      </c>
      <c r="I1247" s="52" t="s">
        <v>30</v>
      </c>
      <c r="J1247" s="52" t="s">
        <v>30</v>
      </c>
      <c r="K1247" s="52" t="str">
        <f t="shared" si="73"/>
        <v>International</v>
      </c>
      <c r="M1247" s="55"/>
    </row>
    <row r="1248">
      <c r="A1248" s="53"/>
      <c r="B1248" s="50" t="str">
        <f>IFERROR(__xludf.DUMMYFUNCTION("""COMPUTED_VALUE"""),"opg170 gene (MPOX)                    ")</f>
        <v>opg170 gene (MPOX)                    </v>
      </c>
      <c r="C1248" s="59" t="str">
        <f>IFERROR(__xludf.DUMMYFUNCTION("""COMPUTED_VALUE"""),"GENEPIO:0101527")</f>
        <v>GENEPIO:0101527</v>
      </c>
      <c r="D1248" s="29" t="str">
        <f>IFERROR(__xludf.DUMMYFUNCTION("""COMPUTED_VALUE"""),"A gene that encodes the Chemokine binding protein (MPOX).")</f>
        <v>A gene that encodes the Chemokine binding protein (MPOX).</v>
      </c>
      <c r="H1248" s="52" t="s">
        <v>30</v>
      </c>
      <c r="I1248" s="52" t="s">
        <v>30</v>
      </c>
      <c r="J1248" s="52" t="s">
        <v>30</v>
      </c>
      <c r="K1248" s="52" t="str">
        <f t="shared" si="73"/>
        <v>International</v>
      </c>
      <c r="M1248" s="55"/>
    </row>
    <row r="1249">
      <c r="A1249" s="53"/>
      <c r="B1249" s="50" t="str">
        <f>IFERROR(__xludf.DUMMYFUNCTION("""COMPUTED_VALUE"""),"opg171 gene (MPOX)                    ")</f>
        <v>opg171 gene (MPOX)                    </v>
      </c>
      <c r="C1249" s="59" t="str">
        <f>IFERROR(__xludf.DUMMYFUNCTION("""COMPUTED_VALUE"""),"GENEPIO:0101528")</f>
        <v>GENEPIO:0101528</v>
      </c>
      <c r="D1249" s="29" t="str">
        <f>IFERROR(__xludf.DUMMYFUNCTION("""COMPUTED_VALUE"""),"A gene that encodes the Profilin domain protein (MPOX).")</f>
        <v>A gene that encodes the Profilin domain protein (MPOX).</v>
      </c>
      <c r="H1249" s="52" t="s">
        <v>30</v>
      </c>
      <c r="I1249" s="52" t="s">
        <v>30</v>
      </c>
      <c r="J1249" s="52" t="s">
        <v>30</v>
      </c>
      <c r="K1249" s="52" t="str">
        <f t="shared" si="73"/>
        <v>International</v>
      </c>
      <c r="M1249" s="55"/>
    </row>
    <row r="1250">
      <c r="A1250" s="53"/>
      <c r="B1250" s="50" t="str">
        <f>IFERROR(__xludf.DUMMYFUNCTION("""COMPUTED_VALUE"""),"opg172 gene (MPOX)                    ")</f>
        <v>opg172 gene (MPOX)                    </v>
      </c>
      <c r="C1250" s="59" t="str">
        <f>IFERROR(__xludf.DUMMYFUNCTION("""COMPUTED_VALUE"""),"GENEPIO:0101529")</f>
        <v>GENEPIO:0101529</v>
      </c>
      <c r="D1250" s="29" t="str">
        <f>IFERROR(__xludf.DUMMYFUNCTION("""COMPUTED_VALUE"""),"A gene that encodes the Type-I membrane glycoprotein (MPOX).")</f>
        <v>A gene that encodes the Type-I membrane glycoprotein (MPOX).</v>
      </c>
      <c r="H1250" s="52" t="s">
        <v>30</v>
      </c>
      <c r="I1250" s="52" t="s">
        <v>30</v>
      </c>
      <c r="J1250" s="52" t="s">
        <v>30</v>
      </c>
      <c r="K1250" s="52" t="str">
        <f t="shared" si="73"/>
        <v>International</v>
      </c>
      <c r="M1250" s="55"/>
    </row>
    <row r="1251">
      <c r="A1251" s="53"/>
      <c r="B1251" s="50" t="str">
        <f>IFERROR(__xludf.DUMMYFUNCTION("""COMPUTED_VALUE"""),"opg173 gene (MPOX)                    ")</f>
        <v>opg173 gene (MPOX)                    </v>
      </c>
      <c r="C1251" s="59" t="str">
        <f>IFERROR(__xludf.DUMMYFUNCTION("""COMPUTED_VALUE"""),"GENEPIO:0101530")</f>
        <v>GENEPIO:0101530</v>
      </c>
      <c r="D1251" s="29" t="str">
        <f>IFERROR(__xludf.DUMMYFUNCTION("""COMPUTED_VALUE"""),"A gene that encodes the MPXVgp154 protein (MPOX).")</f>
        <v>A gene that encodes the MPXVgp154 protein (MPOX).</v>
      </c>
      <c r="H1251" s="52" t="s">
        <v>30</v>
      </c>
      <c r="I1251" s="52" t="s">
        <v>30</v>
      </c>
      <c r="J1251" s="52" t="s">
        <v>30</v>
      </c>
      <c r="K1251" s="52" t="str">
        <f t="shared" si="73"/>
        <v>International</v>
      </c>
      <c r="M1251" s="55"/>
    </row>
    <row r="1252">
      <c r="A1252" s="53"/>
      <c r="B1252" s="50" t="str">
        <f>IFERROR(__xludf.DUMMYFUNCTION("""COMPUTED_VALUE"""),"opg174 gene (MPOX)                    ")</f>
        <v>opg174 gene (MPOX)                    </v>
      </c>
      <c r="C1252" s="59" t="str">
        <f>IFERROR(__xludf.DUMMYFUNCTION("""COMPUTED_VALUE"""),"GENEPIO:0101531")</f>
        <v>GENEPIO:0101531</v>
      </c>
      <c r="D1252" s="29" t="str">
        <f>IFERROR(__xludf.DUMMYFUNCTION("""COMPUTED_VALUE"""),"A gene that encodes the Hydroxysteroid dehydrogenase protein (MPOX).")</f>
        <v>A gene that encodes the Hydroxysteroid dehydrogenase protein (MPOX).</v>
      </c>
      <c r="H1252" s="52" t="s">
        <v>30</v>
      </c>
      <c r="I1252" s="52" t="s">
        <v>30</v>
      </c>
      <c r="J1252" s="52" t="s">
        <v>30</v>
      </c>
      <c r="K1252" s="52" t="str">
        <f t="shared" si="73"/>
        <v>International</v>
      </c>
      <c r="M1252" s="55"/>
    </row>
    <row r="1253">
      <c r="A1253" s="53"/>
      <c r="B1253" s="50" t="str">
        <f>IFERROR(__xludf.DUMMYFUNCTION("""COMPUTED_VALUE"""),"opg175 gene (MPOX)                    ")</f>
        <v>opg175 gene (MPOX)                    </v>
      </c>
      <c r="C1253" s="59" t="str">
        <f>IFERROR(__xludf.DUMMYFUNCTION("""COMPUTED_VALUE"""),"GENEPIO:0101532")</f>
        <v>GENEPIO:0101532</v>
      </c>
      <c r="D1253" s="29" t="str">
        <f>IFERROR(__xludf.DUMMYFUNCTION("""COMPUTED_VALUE"""),"A gene that encodes the Copper/zinc superoxide dismutase protein (MPOX).")</f>
        <v>A gene that encodes the Copper/zinc superoxide dismutase protein (MPOX).</v>
      </c>
      <c r="H1253" s="52" t="s">
        <v>30</v>
      </c>
      <c r="I1253" s="52" t="s">
        <v>30</v>
      </c>
      <c r="J1253" s="52" t="s">
        <v>30</v>
      </c>
      <c r="K1253" s="52" t="str">
        <f t="shared" si="73"/>
        <v>International</v>
      </c>
      <c r="M1253" s="55"/>
    </row>
    <row r="1254">
      <c r="A1254" s="53"/>
      <c r="B1254" s="50" t="str">
        <f>IFERROR(__xludf.DUMMYFUNCTION("""COMPUTED_VALUE"""),"opg176 gene (MPOX)                    ")</f>
        <v>opg176 gene (MPOX)                    </v>
      </c>
      <c r="C1254" s="59" t="str">
        <f>IFERROR(__xludf.DUMMYFUNCTION("""COMPUTED_VALUE"""),"GENEPIO:0101533")</f>
        <v>GENEPIO:0101533</v>
      </c>
      <c r="D1254" s="29" t="str">
        <f>IFERROR(__xludf.DUMMYFUNCTION("""COMPUTED_VALUE"""),"A gene that encodes the Bcl-2-like protein (MPOX).")</f>
        <v>A gene that encodes the Bcl-2-like protein (MPOX).</v>
      </c>
      <c r="H1254" s="52" t="s">
        <v>30</v>
      </c>
      <c r="I1254" s="52" t="s">
        <v>30</v>
      </c>
      <c r="J1254" s="52" t="s">
        <v>30</v>
      </c>
      <c r="K1254" s="52" t="str">
        <f t="shared" si="73"/>
        <v>International</v>
      </c>
      <c r="M1254" s="55"/>
    </row>
    <row r="1255">
      <c r="A1255" s="53"/>
      <c r="B1255" s="50" t="str">
        <f>IFERROR(__xludf.DUMMYFUNCTION("""COMPUTED_VALUE"""),"opg178 gene (MPOX)                    ")</f>
        <v>opg178 gene (MPOX)                    </v>
      </c>
      <c r="C1255" s="59" t="str">
        <f>IFERROR(__xludf.DUMMYFUNCTION("""COMPUTED_VALUE"""),"GENEPIO:0101534")</f>
        <v>GENEPIO:0101534</v>
      </c>
      <c r="D1255" s="29" t="str">
        <f>IFERROR(__xludf.DUMMYFUNCTION("""COMPUTED_VALUE"""),"A gene that encodes the Thymidylate kinase protein (MPOX).")</f>
        <v>A gene that encodes the Thymidylate kinase protein (MPOX).</v>
      </c>
      <c r="H1255" s="52" t="s">
        <v>30</v>
      </c>
      <c r="I1255" s="52" t="s">
        <v>30</v>
      </c>
      <c r="J1255" s="52" t="s">
        <v>30</v>
      </c>
      <c r="K1255" s="52" t="str">
        <f t="shared" si="73"/>
        <v>International</v>
      </c>
      <c r="M1255" s="55"/>
    </row>
    <row r="1256">
      <c r="A1256" s="53"/>
      <c r="B1256" s="50" t="str">
        <f>IFERROR(__xludf.DUMMYFUNCTION("""COMPUTED_VALUE"""),"opg180 gene (MPOX)                    ")</f>
        <v>opg180 gene (MPOX)                    </v>
      </c>
      <c r="C1256" s="59" t="str">
        <f>IFERROR(__xludf.DUMMYFUNCTION("""COMPUTED_VALUE"""),"GENEPIO:0101535")</f>
        <v>GENEPIO:0101535</v>
      </c>
      <c r="D1256" s="29" t="str">
        <f>IFERROR(__xludf.DUMMYFUNCTION("""COMPUTED_VALUE"""),"A gene that encodes the DNA ligase (2) protein (MPOX).")</f>
        <v>A gene that encodes the DNA ligase (2) protein (MPOX).</v>
      </c>
      <c r="H1256" s="52" t="s">
        <v>30</v>
      </c>
      <c r="I1256" s="52" t="s">
        <v>30</v>
      </c>
      <c r="J1256" s="52" t="s">
        <v>30</v>
      </c>
      <c r="K1256" s="52" t="str">
        <f t="shared" si="73"/>
        <v>International</v>
      </c>
      <c r="M1256" s="55"/>
    </row>
    <row r="1257">
      <c r="A1257" s="53"/>
      <c r="B1257" s="50" t="str">
        <f>IFERROR(__xludf.DUMMYFUNCTION("""COMPUTED_VALUE"""),"opg181 gene (MPOX)                    ")</f>
        <v>opg181 gene (MPOX)                    </v>
      </c>
      <c r="C1257" s="59" t="str">
        <f>IFERROR(__xludf.DUMMYFUNCTION("""COMPUTED_VALUE"""),"GENEPIO:0101536")</f>
        <v>GENEPIO:0101536</v>
      </c>
      <c r="D1257" s="29" t="str">
        <f>IFERROR(__xludf.DUMMYFUNCTION("""COMPUTED_VALUE"""),"A gene that encodes the M137R protein (MPOX).")</f>
        <v>A gene that encodes the M137R protein (MPOX).</v>
      </c>
      <c r="H1257" s="52" t="s">
        <v>30</v>
      </c>
      <c r="I1257" s="52" t="s">
        <v>30</v>
      </c>
      <c r="J1257" s="52" t="s">
        <v>30</v>
      </c>
      <c r="K1257" s="52" t="str">
        <f t="shared" si="73"/>
        <v>International</v>
      </c>
      <c r="M1257" s="55"/>
    </row>
    <row r="1258">
      <c r="A1258" s="53"/>
      <c r="B1258" s="50" t="str">
        <f>IFERROR(__xludf.DUMMYFUNCTION("""COMPUTED_VALUE"""),"opg185 gene (MPOX)                    ")</f>
        <v>opg185 gene (MPOX)                    </v>
      </c>
      <c r="C1258" s="59" t="str">
        <f>IFERROR(__xludf.DUMMYFUNCTION("""COMPUTED_VALUE"""),"GENEPIO:0101537")</f>
        <v>GENEPIO:0101537</v>
      </c>
      <c r="D1258" s="29" t="str">
        <f>IFERROR(__xludf.DUMMYFUNCTION("""COMPUTED_VALUE"""),"A gene that encodes the Hemagglutinin protein (MPOX).")</f>
        <v>A gene that encodes the Hemagglutinin protein (MPOX).</v>
      </c>
      <c r="H1258" s="52" t="s">
        <v>30</v>
      </c>
      <c r="I1258" s="52" t="s">
        <v>30</v>
      </c>
      <c r="J1258" s="52" t="s">
        <v>30</v>
      </c>
      <c r="K1258" s="52" t="str">
        <f t="shared" si="73"/>
        <v>International</v>
      </c>
      <c r="M1258" s="55"/>
    </row>
    <row r="1259">
      <c r="A1259" s="53"/>
      <c r="B1259" s="50" t="str">
        <f>IFERROR(__xludf.DUMMYFUNCTION("""COMPUTED_VALUE"""),"opg187 gene (MPOX)                    ")</f>
        <v>opg187 gene (MPOX)                    </v>
      </c>
      <c r="C1259" s="59" t="str">
        <f>IFERROR(__xludf.DUMMYFUNCTION("""COMPUTED_VALUE"""),"GENEPIO:0101538")</f>
        <v>GENEPIO:0101538</v>
      </c>
      <c r="D1259" s="29" t="str">
        <f>IFERROR(__xludf.DUMMYFUNCTION("""COMPUTED_VALUE"""),"A gene that encodes the Ser/thr kinase protein (MPOX).")</f>
        <v>A gene that encodes the Ser/thr kinase protein (MPOX).</v>
      </c>
      <c r="H1259" s="52" t="s">
        <v>30</v>
      </c>
      <c r="I1259" s="52" t="s">
        <v>30</v>
      </c>
      <c r="J1259" s="52" t="s">
        <v>30</v>
      </c>
      <c r="K1259" s="52" t="str">
        <f t="shared" si="73"/>
        <v>International</v>
      </c>
      <c r="M1259" s="55"/>
    </row>
    <row r="1260">
      <c r="A1260" s="53"/>
      <c r="B1260" s="50" t="str">
        <f>IFERROR(__xludf.DUMMYFUNCTION("""COMPUTED_VALUE"""),"opg188 gene (MPOX)                    ")</f>
        <v>opg188 gene (MPOX)                    </v>
      </c>
      <c r="C1260" s="59" t="str">
        <f>IFERROR(__xludf.DUMMYFUNCTION("""COMPUTED_VALUE"""),"GENEPIO:0101539")</f>
        <v>GENEPIO:0101539</v>
      </c>
      <c r="D1260" s="29" t="str">
        <f>IFERROR(__xludf.DUMMYFUNCTION("""COMPUTED_VALUE"""),"A gene that encodes the Schlafen (1) protein (MPOX).")</f>
        <v>A gene that encodes the Schlafen (1) protein (MPOX).</v>
      </c>
      <c r="H1260" s="52" t="s">
        <v>30</v>
      </c>
      <c r="I1260" s="52" t="s">
        <v>30</v>
      </c>
      <c r="J1260" s="52" t="s">
        <v>30</v>
      </c>
      <c r="K1260" s="52" t="str">
        <f t="shared" si="73"/>
        <v>International</v>
      </c>
      <c r="M1260" s="55"/>
    </row>
    <row r="1261">
      <c r="A1261" s="53"/>
      <c r="B1261" s="50" t="str">
        <f>IFERROR(__xludf.DUMMYFUNCTION("""COMPUTED_VALUE"""),"opg189 gene (MPOX)                    ")</f>
        <v>opg189 gene (MPOX)                    </v>
      </c>
      <c r="C1261" s="59" t="str">
        <f>IFERROR(__xludf.DUMMYFUNCTION("""COMPUTED_VALUE"""),"GENEPIO:0101540")</f>
        <v>GENEPIO:0101540</v>
      </c>
      <c r="D1261" s="29" t="str">
        <f>IFERROR(__xludf.DUMMYFUNCTION("""COMPUTED_VALUE"""),"A gene that encodes the Ankyrin repeat protein (25) (MPOX).")</f>
        <v>A gene that encodes the Ankyrin repeat protein (25) (MPOX).</v>
      </c>
      <c r="H1261" s="52" t="s">
        <v>30</v>
      </c>
      <c r="I1261" s="52" t="s">
        <v>30</v>
      </c>
      <c r="J1261" s="52" t="s">
        <v>30</v>
      </c>
      <c r="K1261" s="52" t="str">
        <f t="shared" si="73"/>
        <v>International</v>
      </c>
      <c r="M1261" s="55"/>
    </row>
    <row r="1262">
      <c r="A1262" s="53"/>
      <c r="B1262" s="50" t="str">
        <f>IFERROR(__xludf.DUMMYFUNCTION("""COMPUTED_VALUE"""),"opg190 gene (MPOX)                    ")</f>
        <v>opg190 gene (MPOX)                    </v>
      </c>
      <c r="C1262" s="59" t="str">
        <f>IFERROR(__xludf.DUMMYFUNCTION("""COMPUTED_VALUE"""),"GENEPIO:0101541")</f>
        <v>GENEPIO:0101541</v>
      </c>
      <c r="D1262" s="29" t="str">
        <f>IFERROR(__xludf.DUMMYFUNCTION("""COMPUTED_VALUE"""),"A gene that encodes the EEV type-I membrane glycoprotein (MPOX).")</f>
        <v>A gene that encodes the EEV type-I membrane glycoprotein (MPOX).</v>
      </c>
      <c r="H1262" s="52" t="s">
        <v>30</v>
      </c>
      <c r="I1262" s="52" t="s">
        <v>30</v>
      </c>
      <c r="J1262" s="52" t="s">
        <v>30</v>
      </c>
      <c r="K1262" s="52" t="str">
        <f t="shared" si="73"/>
        <v>International</v>
      </c>
      <c r="M1262" s="55"/>
    </row>
    <row r="1263">
      <c r="A1263" s="53"/>
      <c r="B1263" s="50" t="str">
        <f>IFERROR(__xludf.DUMMYFUNCTION("""COMPUTED_VALUE"""),"opg191 gene (MPOX)                    ")</f>
        <v>opg191 gene (MPOX)                    </v>
      </c>
      <c r="C1263" s="59" t="str">
        <f>IFERROR(__xludf.DUMMYFUNCTION("""COMPUTED_VALUE"""),"GENEPIO:0101542")</f>
        <v>GENEPIO:0101542</v>
      </c>
      <c r="D1263" s="29" t="str">
        <f>IFERROR(__xludf.DUMMYFUNCTION("""COMPUTED_VALUE"""),"A gene that encodes the Ankyrin-like protein (46) (MPOX).")</f>
        <v>A gene that encodes the Ankyrin-like protein (46) (MPOX).</v>
      </c>
      <c r="H1263" s="52" t="s">
        <v>30</v>
      </c>
      <c r="I1263" s="52" t="s">
        <v>30</v>
      </c>
      <c r="J1263" s="52" t="s">
        <v>30</v>
      </c>
      <c r="K1263" s="52" t="str">
        <f t="shared" si="73"/>
        <v>International</v>
      </c>
      <c r="M1263" s="55"/>
    </row>
    <row r="1264">
      <c r="A1264" s="53"/>
      <c r="B1264" s="50" t="str">
        <f>IFERROR(__xludf.DUMMYFUNCTION("""COMPUTED_VALUE"""),"opg192 gene (MPOX)                    ")</f>
        <v>opg192 gene (MPOX)                    </v>
      </c>
      <c r="C1264" s="59" t="str">
        <f>IFERROR(__xludf.DUMMYFUNCTION("""COMPUTED_VALUE"""),"GENEPIO:0101543")</f>
        <v>GENEPIO:0101543</v>
      </c>
      <c r="D1264" s="29" t="str">
        <f>IFERROR(__xludf.DUMMYFUNCTION("""COMPUTED_VALUE"""),"A gene that encodes the Virulence protein (MPOX).")</f>
        <v>A gene that encodes the Virulence protein (MPOX).</v>
      </c>
      <c r="H1264" s="52" t="s">
        <v>30</v>
      </c>
      <c r="I1264" s="52" t="s">
        <v>30</v>
      </c>
      <c r="J1264" s="52" t="s">
        <v>30</v>
      </c>
      <c r="K1264" s="52" t="str">
        <f t="shared" si="73"/>
        <v>International</v>
      </c>
      <c r="M1264" s="55"/>
    </row>
    <row r="1265">
      <c r="A1265" s="53"/>
      <c r="B1265" s="50" t="str">
        <f>IFERROR(__xludf.DUMMYFUNCTION("""COMPUTED_VALUE"""),"opg193 gene (MPOX)                    ")</f>
        <v>opg193 gene (MPOX)                    </v>
      </c>
      <c r="C1265" s="59" t="str">
        <f>IFERROR(__xludf.DUMMYFUNCTION("""COMPUTED_VALUE"""),"GENEPIO:0101544")</f>
        <v>GENEPIO:0101544</v>
      </c>
      <c r="D1265" s="29" t="str">
        <f>IFERROR(__xludf.DUMMYFUNCTION("""COMPUTED_VALUE"""),"A gene that encodes the Soluble interferon-gamma receptor-like protein (MPOX).")</f>
        <v>A gene that encodes the Soluble interferon-gamma receptor-like protein (MPOX).</v>
      </c>
      <c r="H1265" s="52" t="s">
        <v>30</v>
      </c>
      <c r="I1265" s="52" t="s">
        <v>30</v>
      </c>
      <c r="J1265" s="52" t="s">
        <v>30</v>
      </c>
      <c r="K1265" s="52" t="str">
        <f t="shared" si="73"/>
        <v>International</v>
      </c>
      <c r="M1265" s="55"/>
    </row>
    <row r="1266">
      <c r="A1266" s="53"/>
      <c r="B1266" s="50" t="str">
        <f>IFERROR(__xludf.DUMMYFUNCTION("""COMPUTED_VALUE"""),"opg195 gene (MPOX)                    ")</f>
        <v>opg195 gene (MPOX)                    </v>
      </c>
      <c r="C1266" s="59" t="str">
        <f>IFERROR(__xludf.DUMMYFUNCTION("""COMPUTED_VALUE"""),"GENEPIO:0101545")</f>
        <v>GENEPIO:0101545</v>
      </c>
      <c r="D1266" s="29" t="str">
        <f>IFERROR(__xludf.DUMMYFUNCTION("""COMPUTED_VALUE"""),"A gene that encodes the Intracellular viral protein (MPOX).")</f>
        <v>A gene that encodes the Intracellular viral protein (MPOX).</v>
      </c>
      <c r="H1266" s="52" t="s">
        <v>30</v>
      </c>
      <c r="I1266" s="52" t="s">
        <v>30</v>
      </c>
      <c r="J1266" s="52" t="s">
        <v>30</v>
      </c>
      <c r="K1266" s="52" t="str">
        <f t="shared" si="73"/>
        <v>International</v>
      </c>
      <c r="M1266" s="55"/>
    </row>
    <row r="1267">
      <c r="A1267" s="53"/>
      <c r="B1267" s="50" t="str">
        <f>IFERROR(__xludf.DUMMYFUNCTION("""COMPUTED_VALUE"""),"opg197 gene (MPOX)                    ")</f>
        <v>opg197 gene (MPOX)                    </v>
      </c>
      <c r="C1267" s="59" t="str">
        <f>IFERROR(__xludf.DUMMYFUNCTION("""COMPUTED_VALUE"""),"GENEPIO:0101546")</f>
        <v>GENEPIO:0101546</v>
      </c>
      <c r="D1267" s="29" t="str">
        <f>IFERROR(__xludf.DUMMYFUNCTION("""COMPUTED_VALUE"""),"A gene that encodes the CPXV205 protein (MPOX).")</f>
        <v>A gene that encodes the CPXV205 protein (MPOX).</v>
      </c>
      <c r="H1267" s="52" t="s">
        <v>30</v>
      </c>
      <c r="I1267" s="52" t="s">
        <v>30</v>
      </c>
      <c r="J1267" s="52" t="s">
        <v>30</v>
      </c>
      <c r="K1267" s="52" t="str">
        <f t="shared" si="73"/>
        <v>International</v>
      </c>
      <c r="M1267" s="55"/>
    </row>
    <row r="1268">
      <c r="A1268" s="53"/>
      <c r="B1268" s="50" t="str">
        <f>IFERROR(__xludf.DUMMYFUNCTION("""COMPUTED_VALUE"""),"opg198 gene (MPOX)                    ")</f>
        <v>opg198 gene (MPOX)                    </v>
      </c>
      <c r="C1268" s="59" t="str">
        <f>IFERROR(__xludf.DUMMYFUNCTION("""COMPUTED_VALUE"""),"GENEPIO:0101547")</f>
        <v>GENEPIO:0101547</v>
      </c>
      <c r="D1268" s="29" t="str">
        <f>IFERROR(__xludf.DUMMYFUNCTION("""COMPUTED_VALUE"""),"A gene that encodes the Ser/thr kinase protein (MPOX).")</f>
        <v>A gene that encodes the Ser/thr kinase protein (MPOX).</v>
      </c>
      <c r="H1268" s="52" t="s">
        <v>30</v>
      </c>
      <c r="I1268" s="52" t="s">
        <v>30</v>
      </c>
      <c r="J1268" s="52" t="s">
        <v>30</v>
      </c>
      <c r="K1268" s="52" t="str">
        <f t="shared" si="73"/>
        <v>International</v>
      </c>
      <c r="M1268" s="55"/>
    </row>
    <row r="1269">
      <c r="A1269" s="53"/>
      <c r="B1269" s="50" t="str">
        <f>IFERROR(__xludf.DUMMYFUNCTION("""COMPUTED_VALUE"""),"opg199 gene (MPOX)                    ")</f>
        <v>opg199 gene (MPOX)                    </v>
      </c>
      <c r="C1269" s="59" t="str">
        <f>IFERROR(__xludf.DUMMYFUNCTION("""COMPUTED_VALUE"""),"GENEPIO:0101548")</f>
        <v>GENEPIO:0101548</v>
      </c>
      <c r="D1269" s="29" t="str">
        <f>IFERROR(__xludf.DUMMYFUNCTION("""COMPUTED_VALUE"""),"A gene that encodes the Serpin protein (MPOX).")</f>
        <v>A gene that encodes the Serpin protein (MPOX).</v>
      </c>
      <c r="H1269" s="52" t="s">
        <v>30</v>
      </c>
      <c r="I1269" s="52" t="s">
        <v>30</v>
      </c>
      <c r="J1269" s="52" t="s">
        <v>30</v>
      </c>
      <c r="K1269" s="52" t="str">
        <f t="shared" si="73"/>
        <v>International</v>
      </c>
      <c r="M1269" s="55"/>
    </row>
    <row r="1270">
      <c r="A1270" s="53"/>
      <c r="B1270" s="50" t="str">
        <f>IFERROR(__xludf.DUMMYFUNCTION("""COMPUTED_VALUE"""),"opg200 gene (MPOX)                    ")</f>
        <v>opg200 gene (MPOX)                    </v>
      </c>
      <c r="C1270" s="59" t="str">
        <f>IFERROR(__xludf.DUMMYFUNCTION("""COMPUTED_VALUE"""),"GENEPIO:0101549")</f>
        <v>GENEPIO:0101549</v>
      </c>
      <c r="D1270" s="29" t="str">
        <f>IFERROR(__xludf.DUMMYFUNCTION("""COMPUTED_VALUE"""),"A gene that encodes the Bcl-2-like protein (MPOX).")</f>
        <v>A gene that encodes the Bcl-2-like protein (MPOX).</v>
      </c>
      <c r="H1270" s="52" t="s">
        <v>30</v>
      </c>
      <c r="I1270" s="52" t="s">
        <v>30</v>
      </c>
      <c r="J1270" s="52" t="s">
        <v>30</v>
      </c>
      <c r="K1270" s="52" t="str">
        <f t="shared" si="73"/>
        <v>International</v>
      </c>
      <c r="M1270" s="55"/>
    </row>
    <row r="1271">
      <c r="A1271" s="53"/>
      <c r="B1271" s="50" t="str">
        <f>IFERROR(__xludf.DUMMYFUNCTION("""COMPUTED_VALUE"""),"opg204 gene (MPOX)                    ")</f>
        <v>opg204 gene (MPOX)                    </v>
      </c>
      <c r="C1271" s="59" t="str">
        <f>IFERROR(__xludf.DUMMYFUNCTION("""COMPUTED_VALUE"""),"GENEPIO:0101550")</f>
        <v>GENEPIO:0101550</v>
      </c>
      <c r="D1271" s="29" t="str">
        <f>IFERROR(__xludf.DUMMYFUNCTION("""COMPUTED_VALUE"""),"A gene that encodes the IFN-alpha/beta-receptor-like secreted glycoprotein (MPOX).")</f>
        <v>A gene that encodes the IFN-alpha/beta-receptor-like secreted glycoprotein (MPOX).</v>
      </c>
      <c r="H1271" s="52" t="s">
        <v>30</v>
      </c>
      <c r="I1271" s="52" t="s">
        <v>30</v>
      </c>
      <c r="J1271" s="52" t="s">
        <v>30</v>
      </c>
      <c r="K1271" s="52" t="str">
        <f t="shared" si="73"/>
        <v>International</v>
      </c>
      <c r="M1271" s="55"/>
    </row>
    <row r="1272">
      <c r="A1272" s="53"/>
      <c r="B1272" s="50" t="str">
        <f>IFERROR(__xludf.DUMMYFUNCTION("""COMPUTED_VALUE"""),"opg205 gene (MPOX)                    ")</f>
        <v>opg205 gene (MPOX)                    </v>
      </c>
      <c r="C1272" s="59" t="str">
        <f>IFERROR(__xludf.DUMMYFUNCTION("""COMPUTED_VALUE"""),"GENEPIO:0101551")</f>
        <v>GENEPIO:0101551</v>
      </c>
      <c r="D1272" s="29" t="str">
        <f>IFERROR(__xludf.DUMMYFUNCTION("""COMPUTED_VALUE"""),"A gene that encodes the Ankyrin repeat protein (44) (MPOX).")</f>
        <v>A gene that encodes the Ankyrin repeat protein (44) (MPOX).</v>
      </c>
      <c r="H1272" s="52" t="s">
        <v>30</v>
      </c>
      <c r="I1272" s="52" t="s">
        <v>30</v>
      </c>
      <c r="J1272" s="52" t="s">
        <v>30</v>
      </c>
      <c r="K1272" s="52" t="str">
        <f t="shared" si="73"/>
        <v>International</v>
      </c>
      <c r="M1272" s="57"/>
    </row>
    <row r="1273">
      <c r="A1273" s="53"/>
      <c r="B1273" s="50" t="str">
        <f>IFERROR(__xludf.DUMMYFUNCTION("""COMPUTED_VALUE"""),"opg208 gene (MPOX)                    ")</f>
        <v>opg208 gene (MPOX)                    </v>
      </c>
      <c r="C1273" s="59" t="str">
        <f>IFERROR(__xludf.DUMMYFUNCTION("""COMPUTED_VALUE"""),"GENEPIO:0101552")</f>
        <v>GENEPIO:0101552</v>
      </c>
      <c r="D1273" s="29" t="str">
        <f>IFERROR(__xludf.DUMMYFUNCTION("""COMPUTED_VALUE"""),"A gene that encodes the Serpin protein (MPOX).")</f>
        <v>A gene that encodes the Serpin protein (MPOX).</v>
      </c>
      <c r="H1273" s="52" t="s">
        <v>30</v>
      </c>
      <c r="I1273" s="52" t="s">
        <v>30</v>
      </c>
      <c r="J1273" s="52" t="s">
        <v>30</v>
      </c>
      <c r="K1273" s="52" t="str">
        <f t="shared" si="73"/>
        <v>International</v>
      </c>
    </row>
    <row r="1274">
      <c r="A1274" s="53"/>
      <c r="B1274" s="50" t="str">
        <f>IFERROR(__xludf.DUMMYFUNCTION("""COMPUTED_VALUE"""),"opg209 gene (MPOX)                    ")</f>
        <v>opg209 gene (MPOX)                    </v>
      </c>
      <c r="C1274" s="59" t="str">
        <f>IFERROR(__xludf.DUMMYFUNCTION("""COMPUTED_VALUE"""),"GENEPIO:0101553")</f>
        <v>GENEPIO:0101553</v>
      </c>
      <c r="D1274" s="29" t="str">
        <f>IFERROR(__xludf.DUMMYFUNCTION("""COMPUTED_VALUE"""),"A gene that encodes the Virulence protein (MPOX).")</f>
        <v>A gene that encodes the Virulence protein (MPOX).</v>
      </c>
      <c r="H1274" s="52" t="s">
        <v>30</v>
      </c>
      <c r="I1274" s="52" t="s">
        <v>30</v>
      </c>
      <c r="J1274" s="52" t="s">
        <v>30</v>
      </c>
      <c r="K1274" s="52" t="str">
        <f t="shared" si="73"/>
        <v>International</v>
      </c>
      <c r="M1274" s="56"/>
    </row>
    <row r="1275">
      <c r="A1275" s="53"/>
      <c r="B1275" s="50" t="str">
        <f>IFERROR(__xludf.DUMMYFUNCTION("""COMPUTED_VALUE"""),"opg210 gene (MPOX)                    ")</f>
        <v>opg210 gene (MPOX)                    </v>
      </c>
      <c r="C1275" s="59" t="str">
        <f>IFERROR(__xludf.DUMMYFUNCTION("""COMPUTED_VALUE"""),"GENEPIO:0101554")</f>
        <v>GENEPIO:0101554</v>
      </c>
      <c r="D1275" s="29" t="str">
        <f>IFERROR(__xludf.DUMMYFUNCTION("""COMPUTED_VALUE"""),"A gene that encodes the B22R family protein (MPOX).")</f>
        <v>A gene that encodes the B22R family protein (MPOX).</v>
      </c>
      <c r="H1275" s="52" t="s">
        <v>30</v>
      </c>
      <c r="I1275" s="52" t="s">
        <v>30</v>
      </c>
      <c r="J1275" s="52" t="s">
        <v>30</v>
      </c>
      <c r="K1275" s="52" t="str">
        <f t="shared" si="73"/>
        <v>International</v>
      </c>
      <c r="M1275" s="55"/>
    </row>
    <row r="1276">
      <c r="A1276" s="53"/>
      <c r="B1276" s="50" t="str">
        <f>IFERROR(__xludf.DUMMYFUNCTION("""COMPUTED_VALUE"""),"opg005 gene (MPOX)                    ")</f>
        <v>opg005 gene (MPOX)                    </v>
      </c>
      <c r="C1276" s="59" t="str">
        <f>IFERROR(__xludf.DUMMYFUNCTION("""COMPUTED_VALUE"""),"GENEPIO:0101555")</f>
        <v>GENEPIO:0101555</v>
      </c>
      <c r="D1276" s="29" t="str">
        <f>IFERROR(__xludf.DUMMYFUNCTION("""COMPUTED_VALUE"""),"A gene that encodes the Bcl-2-like protein (MPOX).")</f>
        <v>A gene that encodes the Bcl-2-like protein (MPOX).</v>
      </c>
      <c r="H1276" s="52" t="s">
        <v>30</v>
      </c>
      <c r="I1276" s="52" t="s">
        <v>30</v>
      </c>
      <c r="J1276" s="52" t="s">
        <v>30</v>
      </c>
      <c r="K1276" s="52" t="str">
        <f t="shared" si="73"/>
        <v>International</v>
      </c>
      <c r="M1276" s="55"/>
    </row>
    <row r="1277">
      <c r="A1277" s="53"/>
      <c r="B1277" s="50" t="str">
        <f>IFERROR(__xludf.DUMMYFUNCTION("""COMPUTED_VALUE"""),"opg016 gene (MPOX)                    ")</f>
        <v>opg016 gene (MPOX)                    </v>
      </c>
      <c r="C1277" s="59" t="str">
        <f>IFERROR(__xludf.DUMMYFUNCTION("""COMPUTED_VALUE"""),"GENEPIO:0101556")</f>
        <v>GENEPIO:0101556</v>
      </c>
      <c r="D1277" s="29" t="str">
        <f>IFERROR(__xludf.DUMMYFUNCTION("""COMPUTED_VALUE"""),"A gene that encodes the Brix domain protein (MPOX).")</f>
        <v>A gene that encodes the Brix domain protein (MPOX).</v>
      </c>
      <c r="H1277" s="52"/>
      <c r="I1277" s="52"/>
      <c r="J1277" s="52"/>
      <c r="K1277" s="53" t="s">
        <v>29</v>
      </c>
      <c r="L1277" s="53" t="str">
        <f>LEFT(A1277, LEN(A1277) - 5)
</f>
        <v>#VALUE!</v>
      </c>
      <c r="M1277" s="53" t="str">
        <f>VLOOKUP(L1277,'Field Reference Guide'!$B$6:$N$240,13,false)</f>
        <v>#VALUE!</v>
      </c>
    </row>
    <row r="1278">
      <c r="A1278" s="53"/>
      <c r="B1278" s="50" t="str">
        <f>IFERROR(__xludf.DUMMYFUNCTION("""COMPUTED_VALUE"""),"                    ")</f>
        <v>                    </v>
      </c>
      <c r="C1278" s="53"/>
      <c r="D1278" s="29"/>
      <c r="H1278" s="52" t="s">
        <v>19</v>
      </c>
      <c r="I1278" s="52" t="s">
        <v>19</v>
      </c>
      <c r="J1278" s="52" t="s">
        <v>19</v>
      </c>
      <c r="K1278" s="52" t="str">
        <f t="shared" ref="K1278:K1548" si="74">K1277</f>
        <v>Mpox</v>
      </c>
      <c r="M1278" s="55"/>
    </row>
    <row r="1279">
      <c r="A1279" s="53" t="str">
        <f>IFERROR(__xludf.DUMMYFUNCTION("""COMPUTED_VALUE"""),"geo_loc_name (country) menu")</f>
        <v>geo_loc_name (country) menu</v>
      </c>
      <c r="B1279" s="50" t="str">
        <f>IFERROR(__xludf.DUMMYFUNCTION("""COMPUTED_VALUE"""),"                    ")</f>
        <v>                    </v>
      </c>
      <c r="C1279" s="53"/>
      <c r="D1279" s="29" t="str">
        <f>IFERROR(__xludf.DUMMYFUNCTION("""COMPUTED_VALUE"""),"")</f>
        <v/>
      </c>
      <c r="E1279" s="53"/>
      <c r="F1279" s="53"/>
      <c r="G1279" s="53"/>
      <c r="H1279" s="52" t="s">
        <v>19</v>
      </c>
      <c r="I1279" s="52" t="s">
        <v>19</v>
      </c>
      <c r="J1279" s="52" t="s">
        <v>19</v>
      </c>
      <c r="K1279" s="52" t="str">
        <f t="shared" si="74"/>
        <v>Mpox</v>
      </c>
      <c r="M1279" s="55"/>
    </row>
    <row r="1280">
      <c r="A1280" s="53"/>
      <c r="B1280" s="50" t="str">
        <f>IFERROR(__xludf.DUMMYFUNCTION("""COMPUTED_VALUE"""),"Afghanistan                    ")</f>
        <v>Afghanistan                    </v>
      </c>
      <c r="C1280" s="53" t="str">
        <f>IFERROR(__xludf.DUMMYFUNCTION("""COMPUTED_VALUE"""),"GAZ:00006882")</f>
        <v>GAZ:00006882</v>
      </c>
      <c r="D1280"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280" s="54" t="s">
        <v>19</v>
      </c>
      <c r="I1280" s="54" t="s">
        <v>19</v>
      </c>
      <c r="J1280" s="54" t="s">
        <v>19</v>
      </c>
      <c r="K1280" s="52" t="str">
        <f t="shared" si="74"/>
        <v>Mpox</v>
      </c>
    </row>
    <row r="1281">
      <c r="A1281" s="53"/>
      <c r="B1281" s="50" t="str">
        <f>IFERROR(__xludf.DUMMYFUNCTION("""COMPUTED_VALUE"""),"Albania                    ")</f>
        <v>Albania                    </v>
      </c>
      <c r="C1281" s="53" t="str">
        <f>IFERROR(__xludf.DUMMYFUNCTION("""COMPUTED_VALUE"""),"GAZ:00002953")</f>
        <v>GAZ:00002953</v>
      </c>
      <c r="D1281"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281" s="52" t="s">
        <v>19</v>
      </c>
      <c r="I1281" s="52" t="s">
        <v>19</v>
      </c>
      <c r="J1281" s="52" t="s">
        <v>19</v>
      </c>
      <c r="K1281" s="52" t="str">
        <f t="shared" si="74"/>
        <v>Mpox</v>
      </c>
      <c r="M1281" s="56"/>
    </row>
    <row r="1282">
      <c r="A1282" s="53"/>
      <c r="B1282" s="50" t="str">
        <f>IFERROR(__xludf.DUMMYFUNCTION("""COMPUTED_VALUE"""),"Algeria                    ")</f>
        <v>Algeria                    </v>
      </c>
      <c r="C1282" s="53" t="str">
        <f>IFERROR(__xludf.DUMMYFUNCTION("""COMPUTED_VALUE"""),"GAZ:00000563")</f>
        <v>GAZ:00000563</v>
      </c>
      <c r="D1282"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282" s="52" t="s">
        <v>19</v>
      </c>
      <c r="I1282" s="52" t="s">
        <v>19</v>
      </c>
      <c r="J1282" s="52" t="s">
        <v>19</v>
      </c>
      <c r="K1282" s="52" t="str">
        <f t="shared" si="74"/>
        <v>Mpox</v>
      </c>
      <c r="M1282" s="55"/>
    </row>
    <row r="1283">
      <c r="A1283" s="53"/>
      <c r="B1283" s="50" t="str">
        <f>IFERROR(__xludf.DUMMYFUNCTION("""COMPUTED_VALUE"""),"American Samoa                    ")</f>
        <v>American Samoa                    </v>
      </c>
      <c r="C1283" s="53" t="str">
        <f>IFERROR(__xludf.DUMMYFUNCTION("""COMPUTED_VALUE"""),"GAZ:00003957")</f>
        <v>GAZ:00003957</v>
      </c>
      <c r="D1283"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283" s="52" t="s">
        <v>19</v>
      </c>
      <c r="I1283" s="52" t="s">
        <v>19</v>
      </c>
      <c r="J1283" s="52" t="s">
        <v>19</v>
      </c>
      <c r="K1283" s="52" t="str">
        <f t="shared" si="74"/>
        <v>Mpox</v>
      </c>
      <c r="M1283" s="55"/>
    </row>
    <row r="1284">
      <c r="A1284" s="53"/>
      <c r="B1284" s="50" t="str">
        <f>IFERROR(__xludf.DUMMYFUNCTION("""COMPUTED_VALUE"""),"Andorra                    ")</f>
        <v>Andorra                    </v>
      </c>
      <c r="C1284" s="53" t="str">
        <f>IFERROR(__xludf.DUMMYFUNCTION("""COMPUTED_VALUE"""),"GAZ:00002948")</f>
        <v>GAZ:00002948</v>
      </c>
      <c r="D1284"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284" s="52" t="s">
        <v>19</v>
      </c>
      <c r="I1284" s="52" t="s">
        <v>19</v>
      </c>
      <c r="J1284" s="52" t="s">
        <v>19</v>
      </c>
      <c r="K1284" s="52" t="str">
        <f t="shared" si="74"/>
        <v>Mpox</v>
      </c>
      <c r="M1284" s="55"/>
    </row>
    <row r="1285">
      <c r="A1285" s="53"/>
      <c r="B1285" s="50" t="str">
        <f>IFERROR(__xludf.DUMMYFUNCTION("""COMPUTED_VALUE"""),"Angola                    ")</f>
        <v>Angola                    </v>
      </c>
      <c r="C1285" s="53" t="str">
        <f>IFERROR(__xludf.DUMMYFUNCTION("""COMPUTED_VALUE"""),"GAZ:00001095")</f>
        <v>GAZ:00001095</v>
      </c>
      <c r="D1285"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285" s="52" t="s">
        <v>19</v>
      </c>
      <c r="I1285" s="52" t="s">
        <v>19</v>
      </c>
      <c r="J1285" s="52" t="s">
        <v>19</v>
      </c>
      <c r="K1285" s="52" t="str">
        <f t="shared" si="74"/>
        <v>Mpox</v>
      </c>
      <c r="M1285" s="55"/>
    </row>
    <row r="1286">
      <c r="A1286" s="53"/>
      <c r="B1286" s="50" t="str">
        <f>IFERROR(__xludf.DUMMYFUNCTION("""COMPUTED_VALUE"""),"Anguilla                    ")</f>
        <v>Anguilla                    </v>
      </c>
      <c r="C1286" s="53" t="str">
        <f>IFERROR(__xludf.DUMMYFUNCTION("""COMPUTED_VALUE"""),"GAZ:00009159")</f>
        <v>GAZ:00009159</v>
      </c>
      <c r="D1286"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286" s="52" t="s">
        <v>19</v>
      </c>
      <c r="I1286" s="52" t="s">
        <v>19</v>
      </c>
      <c r="J1286" s="52" t="s">
        <v>19</v>
      </c>
      <c r="K1286" s="52" t="str">
        <f t="shared" si="74"/>
        <v>Mpox</v>
      </c>
      <c r="M1286" s="55"/>
    </row>
    <row r="1287">
      <c r="A1287" s="53"/>
      <c r="B1287" s="50" t="str">
        <f>IFERROR(__xludf.DUMMYFUNCTION("""COMPUTED_VALUE"""),"Antarctica                    ")</f>
        <v>Antarctica                    </v>
      </c>
      <c r="C1287" s="53" t="str">
        <f>IFERROR(__xludf.DUMMYFUNCTION("""COMPUTED_VALUE"""),"GAZ:00000462")</f>
        <v>GAZ:00000462</v>
      </c>
      <c r="D1287"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287" s="52" t="s">
        <v>19</v>
      </c>
      <c r="I1287" s="52" t="s">
        <v>19</v>
      </c>
      <c r="J1287" s="52" t="s">
        <v>19</v>
      </c>
      <c r="K1287" s="52" t="str">
        <f t="shared" si="74"/>
        <v>Mpox</v>
      </c>
    </row>
    <row r="1288">
      <c r="A1288" s="53"/>
      <c r="B1288" s="50" t="str">
        <f>IFERROR(__xludf.DUMMYFUNCTION("""COMPUTED_VALUE"""),"Antigua and Barbuda                    ")</f>
        <v>Antigua and Barbuda                    </v>
      </c>
      <c r="C1288" s="53" t="str">
        <f>IFERROR(__xludf.DUMMYFUNCTION("""COMPUTED_VALUE"""),"GAZ:00006883")</f>
        <v>GAZ:00006883</v>
      </c>
      <c r="D1288"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288" s="52" t="s">
        <v>19</v>
      </c>
      <c r="I1288" s="52" t="s">
        <v>19</v>
      </c>
      <c r="J1288" s="52" t="s">
        <v>19</v>
      </c>
      <c r="K1288" s="52" t="str">
        <f t="shared" si="74"/>
        <v>Mpox</v>
      </c>
      <c r="M1288" s="56"/>
    </row>
    <row r="1289">
      <c r="A1289" s="53"/>
      <c r="B1289" s="50" t="str">
        <f>IFERROR(__xludf.DUMMYFUNCTION("""COMPUTED_VALUE"""),"Argentina                    ")</f>
        <v>Argentina                    </v>
      </c>
      <c r="C1289" s="53" t="str">
        <f>IFERROR(__xludf.DUMMYFUNCTION("""COMPUTED_VALUE"""),"GAZ:00002928")</f>
        <v>GAZ:00002928</v>
      </c>
      <c r="D1289"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289" s="52" t="s">
        <v>19</v>
      </c>
      <c r="I1289" s="52" t="s">
        <v>19</v>
      </c>
      <c r="J1289" s="52" t="s">
        <v>19</v>
      </c>
      <c r="K1289" s="52" t="str">
        <f t="shared" si="74"/>
        <v>Mpox</v>
      </c>
      <c r="M1289" s="55"/>
    </row>
    <row r="1290">
      <c r="A1290" s="53"/>
      <c r="B1290" s="50" t="str">
        <f>IFERROR(__xludf.DUMMYFUNCTION("""COMPUTED_VALUE"""),"Armenia                    ")</f>
        <v>Armenia                    </v>
      </c>
      <c r="C1290" s="53" t="str">
        <f>IFERROR(__xludf.DUMMYFUNCTION("""COMPUTED_VALUE"""),"GAZ:00004094")</f>
        <v>GAZ:00004094</v>
      </c>
      <c r="D1290"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290" s="52" t="s">
        <v>19</v>
      </c>
      <c r="I1290" s="52" t="s">
        <v>19</v>
      </c>
      <c r="J1290" s="52" t="s">
        <v>19</v>
      </c>
      <c r="K1290" s="52" t="str">
        <f t="shared" si="74"/>
        <v>Mpox</v>
      </c>
      <c r="M1290" s="55"/>
    </row>
    <row r="1291">
      <c r="A1291" s="53"/>
      <c r="B1291" s="50" t="str">
        <f>IFERROR(__xludf.DUMMYFUNCTION("""COMPUTED_VALUE"""),"Aruba                    ")</f>
        <v>Aruba                    </v>
      </c>
      <c r="C1291" s="53" t="str">
        <f>IFERROR(__xludf.DUMMYFUNCTION("""COMPUTED_VALUE"""),"GAZ:00004025")</f>
        <v>GAZ:00004025</v>
      </c>
      <c r="D1291"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291" s="52" t="s">
        <v>19</v>
      </c>
      <c r="I1291" s="52" t="s">
        <v>19</v>
      </c>
      <c r="J1291" s="52" t="s">
        <v>19</v>
      </c>
      <c r="K1291" s="52" t="str">
        <f t="shared" si="74"/>
        <v>Mpox</v>
      </c>
      <c r="M1291" s="55"/>
    </row>
    <row r="1292">
      <c r="A1292" s="53"/>
      <c r="B1292" s="50" t="str">
        <f>IFERROR(__xludf.DUMMYFUNCTION("""COMPUTED_VALUE"""),"Ashmore and Cartier Islands                    ")</f>
        <v>Ashmore and Cartier Islands                    </v>
      </c>
      <c r="C1292" s="53" t="str">
        <f>IFERROR(__xludf.DUMMYFUNCTION("""COMPUTED_VALUE"""),"GAZ:00005901")</f>
        <v>GAZ:00005901</v>
      </c>
      <c r="D1292"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292" s="52" t="s">
        <v>19</v>
      </c>
      <c r="I1292" s="52" t="s">
        <v>19</v>
      </c>
      <c r="J1292" s="52" t="s">
        <v>19</v>
      </c>
      <c r="K1292" s="52" t="str">
        <f t="shared" si="74"/>
        <v>Mpox</v>
      </c>
      <c r="M1292" s="55"/>
    </row>
    <row r="1293">
      <c r="A1293" s="53"/>
      <c r="B1293" s="50" t="str">
        <f>IFERROR(__xludf.DUMMYFUNCTION("""COMPUTED_VALUE"""),"Australia                    ")</f>
        <v>Australia                    </v>
      </c>
      <c r="C1293" s="53" t="str">
        <f>IFERROR(__xludf.DUMMYFUNCTION("""COMPUTED_VALUE"""),"GAZ:00000463")</f>
        <v>GAZ:00000463</v>
      </c>
      <c r="D1293"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293" s="52" t="s">
        <v>19</v>
      </c>
      <c r="I1293" s="52" t="s">
        <v>19</v>
      </c>
      <c r="J1293" s="52" t="s">
        <v>19</v>
      </c>
      <c r="K1293" s="52" t="str">
        <f t="shared" si="74"/>
        <v>Mpox</v>
      </c>
      <c r="M1293" s="55"/>
    </row>
    <row r="1294">
      <c r="A1294" s="53"/>
      <c r="B1294" s="50" t="str">
        <f>IFERROR(__xludf.DUMMYFUNCTION("""COMPUTED_VALUE"""),"Austria                    ")</f>
        <v>Austria                    </v>
      </c>
      <c r="C1294" s="53" t="str">
        <f>IFERROR(__xludf.DUMMYFUNCTION("""COMPUTED_VALUE"""),"GAZ:00002942")</f>
        <v>GAZ:00002942</v>
      </c>
      <c r="D1294"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294" s="52" t="s">
        <v>19</v>
      </c>
      <c r="I1294" s="52" t="s">
        <v>19</v>
      </c>
      <c r="J1294" s="52" t="s">
        <v>19</v>
      </c>
      <c r="K1294" s="52" t="str">
        <f t="shared" si="74"/>
        <v>Mpox</v>
      </c>
      <c r="M1294" s="55"/>
    </row>
    <row r="1295">
      <c r="A1295" s="53"/>
      <c r="B1295" s="50" t="str">
        <f>IFERROR(__xludf.DUMMYFUNCTION("""COMPUTED_VALUE"""),"Azerbaijan                    ")</f>
        <v>Azerbaijan                    </v>
      </c>
      <c r="C1295" s="53" t="str">
        <f>IFERROR(__xludf.DUMMYFUNCTION("""COMPUTED_VALUE"""),"GAZ:00004941")</f>
        <v>GAZ:00004941</v>
      </c>
      <c r="D1295"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295" s="52" t="s">
        <v>19</v>
      </c>
      <c r="I1295" s="52" t="s">
        <v>19</v>
      </c>
      <c r="J1295" s="52" t="s">
        <v>19</v>
      </c>
      <c r="K1295" s="52" t="str">
        <f t="shared" si="74"/>
        <v>Mpox</v>
      </c>
      <c r="M1295" s="55"/>
    </row>
    <row r="1296">
      <c r="A1296" s="53"/>
      <c r="B1296" s="50" t="str">
        <f>IFERROR(__xludf.DUMMYFUNCTION("""COMPUTED_VALUE"""),"Bahamas                    ")</f>
        <v>Bahamas                    </v>
      </c>
      <c r="C1296" s="53" t="str">
        <f>IFERROR(__xludf.DUMMYFUNCTION("""COMPUTED_VALUE"""),"GAZ:00002733")</f>
        <v>GAZ:00002733</v>
      </c>
      <c r="D1296"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296" s="52" t="s">
        <v>19</v>
      </c>
      <c r="I1296" s="52" t="s">
        <v>19</v>
      </c>
      <c r="J1296" s="52" t="s">
        <v>19</v>
      </c>
      <c r="K1296" s="52" t="str">
        <f t="shared" si="74"/>
        <v>Mpox</v>
      </c>
      <c r="M1296" s="55"/>
    </row>
    <row r="1297">
      <c r="A1297" s="53"/>
      <c r="B1297" s="50" t="str">
        <f>IFERROR(__xludf.DUMMYFUNCTION("""COMPUTED_VALUE"""),"Bahrain                    ")</f>
        <v>Bahrain                    </v>
      </c>
      <c r="C1297" s="53" t="str">
        <f>IFERROR(__xludf.DUMMYFUNCTION("""COMPUTED_VALUE"""),"GAZ:00005281")</f>
        <v>GAZ:00005281</v>
      </c>
      <c r="D1297"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297" s="52" t="s">
        <v>19</v>
      </c>
      <c r="I1297" s="52" t="s">
        <v>19</v>
      </c>
      <c r="J1297" s="52" t="s">
        <v>19</v>
      </c>
      <c r="K1297" s="52" t="str">
        <f t="shared" si="74"/>
        <v>Mpox</v>
      </c>
      <c r="M1297" s="55"/>
    </row>
    <row r="1298">
      <c r="A1298" s="53"/>
      <c r="B1298" s="50" t="str">
        <f>IFERROR(__xludf.DUMMYFUNCTION("""COMPUTED_VALUE"""),"Baker Island                    ")</f>
        <v>Baker Island                    </v>
      </c>
      <c r="C1298" s="53" t="str">
        <f>IFERROR(__xludf.DUMMYFUNCTION("""COMPUTED_VALUE"""),"GAZ:00007117")</f>
        <v>GAZ:00007117</v>
      </c>
      <c r="D1298"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298" s="52" t="s">
        <v>19</v>
      </c>
      <c r="I1298" s="52" t="s">
        <v>19</v>
      </c>
      <c r="J1298" s="52" t="s">
        <v>19</v>
      </c>
      <c r="K1298" s="52" t="str">
        <f t="shared" si="74"/>
        <v>Mpox</v>
      </c>
      <c r="M1298" s="55"/>
    </row>
    <row r="1299">
      <c r="A1299" s="53"/>
      <c r="B1299" s="50" t="str">
        <f>IFERROR(__xludf.DUMMYFUNCTION("""COMPUTED_VALUE"""),"Bangladesh                    ")</f>
        <v>Bangladesh                    </v>
      </c>
      <c r="C1299" s="53" t="str">
        <f>IFERROR(__xludf.DUMMYFUNCTION("""COMPUTED_VALUE"""),"GAZ:00003750")</f>
        <v>GAZ:00003750</v>
      </c>
      <c r="D1299"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299" s="52" t="s">
        <v>19</v>
      </c>
      <c r="I1299" s="52" t="s">
        <v>19</v>
      </c>
      <c r="J1299" s="52" t="s">
        <v>19</v>
      </c>
      <c r="K1299" s="52" t="str">
        <f t="shared" si="74"/>
        <v>Mpox</v>
      </c>
      <c r="M1299" s="55"/>
    </row>
    <row r="1300">
      <c r="A1300" s="53"/>
      <c r="B1300" s="50" t="str">
        <f>IFERROR(__xludf.DUMMYFUNCTION("""COMPUTED_VALUE"""),"Barbados                    ")</f>
        <v>Barbados                    </v>
      </c>
      <c r="C1300" s="53" t="str">
        <f>IFERROR(__xludf.DUMMYFUNCTION("""COMPUTED_VALUE"""),"GAZ:00001251")</f>
        <v>GAZ:00001251</v>
      </c>
      <c r="D1300"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H1300" s="52" t="s">
        <v>19</v>
      </c>
      <c r="I1300" s="52" t="s">
        <v>19</v>
      </c>
      <c r="J1300" s="52" t="s">
        <v>19</v>
      </c>
      <c r="K1300" s="52" t="str">
        <f t="shared" si="74"/>
        <v>Mpox</v>
      </c>
      <c r="M1300" s="55"/>
    </row>
    <row r="1301">
      <c r="A1301" s="53"/>
      <c r="B1301" s="50" t="str">
        <f>IFERROR(__xludf.DUMMYFUNCTION("""COMPUTED_VALUE"""),"Bassas da India                    ")</f>
        <v>Bassas da India                    </v>
      </c>
      <c r="C1301" s="53" t="str">
        <f>IFERROR(__xludf.DUMMYFUNCTION("""COMPUTED_VALUE"""),"GAZ:00005810")</f>
        <v>GAZ:00005810</v>
      </c>
      <c r="D1301"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H1301" s="52" t="s">
        <v>19</v>
      </c>
      <c r="I1301" s="52" t="s">
        <v>19</v>
      </c>
      <c r="J1301" s="52" t="s">
        <v>19</v>
      </c>
      <c r="K1301" s="52" t="str">
        <f t="shared" si="74"/>
        <v>Mpox</v>
      </c>
      <c r="M1301" s="55"/>
    </row>
    <row r="1302">
      <c r="A1302" s="53"/>
      <c r="B1302" s="50" t="str">
        <f>IFERROR(__xludf.DUMMYFUNCTION("""COMPUTED_VALUE"""),"Belarus                    ")</f>
        <v>Belarus                    </v>
      </c>
      <c r="C1302" s="53" t="str">
        <f>IFERROR(__xludf.DUMMYFUNCTION("""COMPUTED_VALUE"""),"GAZ:00006886")</f>
        <v>GAZ:00006886</v>
      </c>
      <c r="D1302"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H1302" s="52" t="s">
        <v>19</v>
      </c>
      <c r="I1302" s="52" t="s">
        <v>19</v>
      </c>
      <c r="J1302" s="52" t="s">
        <v>19</v>
      </c>
      <c r="K1302" s="52" t="str">
        <f t="shared" si="74"/>
        <v>Mpox</v>
      </c>
      <c r="M1302" s="55"/>
    </row>
    <row r="1303">
      <c r="A1303" s="53"/>
      <c r="B1303" s="50" t="str">
        <f>IFERROR(__xludf.DUMMYFUNCTION("""COMPUTED_VALUE"""),"Belgium                    ")</f>
        <v>Belgium                    </v>
      </c>
      <c r="C1303" s="53" t="str">
        <f>IFERROR(__xludf.DUMMYFUNCTION("""COMPUTED_VALUE"""),"GAZ:00002938")</f>
        <v>GAZ:00002938</v>
      </c>
      <c r="D1303"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H1303" s="52" t="s">
        <v>19</v>
      </c>
      <c r="I1303" s="52" t="s">
        <v>19</v>
      </c>
      <c r="J1303" s="52" t="s">
        <v>19</v>
      </c>
      <c r="K1303" s="52" t="str">
        <f t="shared" si="74"/>
        <v>Mpox</v>
      </c>
      <c r="M1303" s="55"/>
    </row>
    <row r="1304">
      <c r="A1304" s="53"/>
      <c r="B1304" s="50" t="str">
        <f>IFERROR(__xludf.DUMMYFUNCTION("""COMPUTED_VALUE"""),"Belize                    ")</f>
        <v>Belize                    </v>
      </c>
      <c r="C1304" s="53" t="str">
        <f>IFERROR(__xludf.DUMMYFUNCTION("""COMPUTED_VALUE"""),"GAZ:00002934")</f>
        <v>GAZ:00002934</v>
      </c>
      <c r="D1304"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H1304" s="52" t="s">
        <v>19</v>
      </c>
      <c r="I1304" s="52" t="s">
        <v>19</v>
      </c>
      <c r="J1304" s="52" t="s">
        <v>19</v>
      </c>
      <c r="K1304" s="52" t="str">
        <f t="shared" si="74"/>
        <v>Mpox</v>
      </c>
      <c r="M1304" s="55"/>
    </row>
    <row r="1305">
      <c r="A1305" s="53"/>
      <c r="B1305" s="50" t="str">
        <f>IFERROR(__xludf.DUMMYFUNCTION("""COMPUTED_VALUE"""),"Benin                    ")</f>
        <v>Benin                    </v>
      </c>
      <c r="C1305" s="53" t="str">
        <f>IFERROR(__xludf.DUMMYFUNCTION("""COMPUTED_VALUE"""),"GAZ:00000904")</f>
        <v>GAZ:00000904</v>
      </c>
      <c r="D1305"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H1305" s="52" t="s">
        <v>19</v>
      </c>
      <c r="I1305" s="52" t="s">
        <v>19</v>
      </c>
      <c r="J1305" s="52" t="s">
        <v>19</v>
      </c>
      <c r="K1305" s="52" t="str">
        <f t="shared" si="74"/>
        <v>Mpox</v>
      </c>
      <c r="M1305" s="55"/>
    </row>
    <row r="1306">
      <c r="A1306" s="53"/>
      <c r="B1306" s="50" t="str">
        <f>IFERROR(__xludf.DUMMYFUNCTION("""COMPUTED_VALUE"""),"Bermuda                    ")</f>
        <v>Bermuda                    </v>
      </c>
      <c r="C1306" s="53" t="str">
        <f>IFERROR(__xludf.DUMMYFUNCTION("""COMPUTED_VALUE"""),"GAZ:00001264")</f>
        <v>GAZ:00001264</v>
      </c>
      <c r="D1306"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H1306" s="52" t="s">
        <v>19</v>
      </c>
      <c r="I1306" s="52" t="s">
        <v>19</v>
      </c>
      <c r="J1306" s="52" t="s">
        <v>19</v>
      </c>
      <c r="K1306" s="52" t="str">
        <f t="shared" si="74"/>
        <v>Mpox</v>
      </c>
      <c r="M1306" s="55"/>
    </row>
    <row r="1307">
      <c r="A1307" s="53"/>
      <c r="B1307" s="50" t="str">
        <f>IFERROR(__xludf.DUMMYFUNCTION("""COMPUTED_VALUE"""),"Bhutan                    ")</f>
        <v>Bhutan                    </v>
      </c>
      <c r="C1307" s="53" t="str">
        <f>IFERROR(__xludf.DUMMYFUNCTION("""COMPUTED_VALUE"""),"GAZ:00003920")</f>
        <v>GAZ:00003920</v>
      </c>
      <c r="D1307"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H1307" s="52" t="s">
        <v>19</v>
      </c>
      <c r="I1307" s="52" t="s">
        <v>19</v>
      </c>
      <c r="J1307" s="52" t="s">
        <v>19</v>
      </c>
      <c r="K1307" s="52" t="str">
        <f t="shared" si="74"/>
        <v>Mpox</v>
      </c>
      <c r="M1307" s="55"/>
    </row>
    <row r="1308">
      <c r="A1308" s="29"/>
      <c r="B1308" s="50" t="str">
        <f>IFERROR(__xludf.DUMMYFUNCTION("""COMPUTED_VALUE"""),"Bolivia                    ")</f>
        <v>Bolivia                    </v>
      </c>
      <c r="C1308" s="29" t="str">
        <f>IFERROR(__xludf.DUMMYFUNCTION("""COMPUTED_VALUE"""),"GAZ:00002511")</f>
        <v>GAZ:00002511</v>
      </c>
      <c r="D1308"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308" s="29"/>
      <c r="F1308" s="29"/>
      <c r="G1308" s="29"/>
      <c r="H1308" s="54" t="s">
        <v>19</v>
      </c>
      <c r="I1308" s="54" t="s">
        <v>19</v>
      </c>
      <c r="J1308" s="54" t="s">
        <v>19</v>
      </c>
      <c r="K1308" s="52" t="str">
        <f t="shared" si="74"/>
        <v>Mpox</v>
      </c>
      <c r="M1308" s="55"/>
    </row>
    <row r="1309">
      <c r="A1309" s="29"/>
      <c r="B1309" s="50" t="str">
        <f>IFERROR(__xludf.DUMMYFUNCTION("""COMPUTED_VALUE"""),"Borneo                    ")</f>
        <v>Borneo                    </v>
      </c>
      <c r="C1309" s="29" t="str">
        <f>IFERROR(__xludf.DUMMYFUNCTION("""COMPUTED_VALUE"""),"GAZ:00025355")</f>
        <v>GAZ:00025355</v>
      </c>
      <c r="D1309"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309" s="29"/>
      <c r="F1309" s="29"/>
      <c r="G1309" s="29"/>
      <c r="H1309" s="54" t="s">
        <v>19</v>
      </c>
      <c r="I1309" s="54" t="s">
        <v>19</v>
      </c>
      <c r="J1309" s="54" t="s">
        <v>19</v>
      </c>
      <c r="K1309" s="52" t="str">
        <f t="shared" si="74"/>
        <v>Mpox</v>
      </c>
      <c r="M1309" s="55"/>
    </row>
    <row r="1310">
      <c r="A1310" s="29"/>
      <c r="B1310" s="50" t="str">
        <f>IFERROR(__xludf.DUMMYFUNCTION("""COMPUTED_VALUE"""),"Bosnia and Herzegovina                    ")</f>
        <v>Bosnia and Herzegovina                    </v>
      </c>
      <c r="C1310" s="29" t="str">
        <f>IFERROR(__xludf.DUMMYFUNCTION("""COMPUTED_VALUE"""),"GAZ:00006887")</f>
        <v>GAZ:00006887</v>
      </c>
      <c r="D1310"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10" s="29"/>
      <c r="F1310" s="29"/>
      <c r="G1310" s="29"/>
      <c r="H1310" s="54" t="s">
        <v>19</v>
      </c>
      <c r="I1310" s="54" t="s">
        <v>19</v>
      </c>
      <c r="J1310" s="54" t="s">
        <v>19</v>
      </c>
      <c r="K1310" s="52" t="str">
        <f t="shared" si="74"/>
        <v>Mpox</v>
      </c>
      <c r="M1310" s="55"/>
    </row>
    <row r="1311">
      <c r="A1311" s="29"/>
      <c r="B1311" s="50" t="str">
        <f>IFERROR(__xludf.DUMMYFUNCTION("""COMPUTED_VALUE"""),"Botswana                    ")</f>
        <v>Botswana                    </v>
      </c>
      <c r="C1311" s="29" t="str">
        <f>IFERROR(__xludf.DUMMYFUNCTION("""COMPUTED_VALUE"""),"GAZ:00001097")</f>
        <v>GAZ:00001097</v>
      </c>
      <c r="D1311"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11" s="29"/>
      <c r="F1311" s="29"/>
      <c r="G1311" s="29"/>
      <c r="H1311" s="54" t="s">
        <v>19</v>
      </c>
      <c r="I1311" s="54" t="s">
        <v>19</v>
      </c>
      <c r="J1311" s="54" t="s">
        <v>19</v>
      </c>
      <c r="K1311" s="52" t="str">
        <f t="shared" si="74"/>
        <v>Mpox</v>
      </c>
      <c r="M1311" s="55"/>
    </row>
    <row r="1312">
      <c r="A1312" s="29"/>
      <c r="B1312" s="50" t="str">
        <f>IFERROR(__xludf.DUMMYFUNCTION("""COMPUTED_VALUE"""),"Bouvet Island                    ")</f>
        <v>Bouvet Island                    </v>
      </c>
      <c r="C1312" s="29" t="str">
        <f>IFERROR(__xludf.DUMMYFUNCTION("""COMPUTED_VALUE"""),"GAZ:00001453")</f>
        <v>GAZ:00001453</v>
      </c>
      <c r="D1312"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12" s="29"/>
      <c r="F1312" s="29"/>
      <c r="G1312" s="29"/>
      <c r="H1312" s="54" t="s">
        <v>19</v>
      </c>
      <c r="I1312" s="54" t="s">
        <v>19</v>
      </c>
      <c r="J1312" s="54" t="s">
        <v>19</v>
      </c>
      <c r="K1312" s="52" t="str">
        <f t="shared" si="74"/>
        <v>Mpox</v>
      </c>
      <c r="M1312" s="55"/>
    </row>
    <row r="1313">
      <c r="A1313" s="29"/>
      <c r="B1313" s="50" t="str">
        <f>IFERROR(__xludf.DUMMYFUNCTION("""COMPUTED_VALUE"""),"Brazil                    ")</f>
        <v>Brazil                    </v>
      </c>
      <c r="C1313" s="29" t="str">
        <f>IFERROR(__xludf.DUMMYFUNCTION("""COMPUTED_VALUE"""),"GAZ:00002828")</f>
        <v>GAZ:00002828</v>
      </c>
      <c r="D1313"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13" s="29"/>
      <c r="F1313" s="29"/>
      <c r="G1313" s="29"/>
      <c r="H1313" s="54" t="s">
        <v>19</v>
      </c>
      <c r="I1313" s="54" t="s">
        <v>19</v>
      </c>
      <c r="J1313" s="54" t="s">
        <v>19</v>
      </c>
      <c r="K1313" s="52" t="str">
        <f t="shared" si="74"/>
        <v>Mpox</v>
      </c>
      <c r="M1313" s="55"/>
    </row>
    <row r="1314">
      <c r="A1314" s="29"/>
      <c r="B1314" s="50" t="str">
        <f>IFERROR(__xludf.DUMMYFUNCTION("""COMPUTED_VALUE"""),"British Virgin Islands                    ")</f>
        <v>British Virgin Islands                    </v>
      </c>
      <c r="C1314" s="29" t="str">
        <f>IFERROR(__xludf.DUMMYFUNCTION("""COMPUTED_VALUE"""),"GAZ:00003961")</f>
        <v>GAZ:00003961</v>
      </c>
      <c r="D1314"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314" s="29"/>
      <c r="F1314" s="29"/>
      <c r="G1314" s="29"/>
      <c r="H1314" s="54" t="s">
        <v>19</v>
      </c>
      <c r="I1314" s="54" t="s">
        <v>19</v>
      </c>
      <c r="J1314" s="54" t="s">
        <v>19</v>
      </c>
      <c r="K1314" s="52" t="str">
        <f t="shared" si="74"/>
        <v>Mpox</v>
      </c>
      <c r="M1314" s="55"/>
    </row>
    <row r="1315">
      <c r="A1315" s="29"/>
      <c r="B1315" s="50" t="str">
        <f>IFERROR(__xludf.DUMMYFUNCTION("""COMPUTED_VALUE"""),"Brunei                    ")</f>
        <v>Brunei                    </v>
      </c>
      <c r="C1315" s="29" t="str">
        <f>IFERROR(__xludf.DUMMYFUNCTION("""COMPUTED_VALUE"""),"GAZ:00003901")</f>
        <v>GAZ:00003901</v>
      </c>
      <c r="D1315"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315" s="29"/>
      <c r="F1315" s="29"/>
      <c r="G1315" s="29"/>
      <c r="H1315" s="54" t="s">
        <v>19</v>
      </c>
      <c r="I1315" s="54" t="s">
        <v>19</v>
      </c>
      <c r="J1315" s="54" t="s">
        <v>19</v>
      </c>
      <c r="K1315" s="52" t="str">
        <f t="shared" si="74"/>
        <v>Mpox</v>
      </c>
      <c r="M1315" s="55"/>
    </row>
    <row r="1316">
      <c r="A1316" s="29"/>
      <c r="B1316" s="50" t="str">
        <f>IFERROR(__xludf.DUMMYFUNCTION("""COMPUTED_VALUE"""),"Bulgaria                    ")</f>
        <v>Bulgaria                    </v>
      </c>
      <c r="C1316" s="29" t="str">
        <f>IFERROR(__xludf.DUMMYFUNCTION("""COMPUTED_VALUE"""),"GAZ:00002950")</f>
        <v>GAZ:00002950</v>
      </c>
      <c r="D1316"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316" s="29"/>
      <c r="F1316" s="29"/>
      <c r="G1316" s="29"/>
      <c r="H1316" s="54" t="s">
        <v>19</v>
      </c>
      <c r="I1316" s="54" t="s">
        <v>19</v>
      </c>
      <c r="J1316" s="54" t="s">
        <v>19</v>
      </c>
      <c r="K1316" s="52" t="str">
        <f t="shared" si="74"/>
        <v>Mpox</v>
      </c>
      <c r="M1316" s="55"/>
    </row>
    <row r="1317">
      <c r="A1317" s="29"/>
      <c r="B1317" s="50" t="str">
        <f>IFERROR(__xludf.DUMMYFUNCTION("""COMPUTED_VALUE"""),"Burkina Faso                    ")</f>
        <v>Burkina Faso                    </v>
      </c>
      <c r="C1317" s="29" t="str">
        <f>IFERROR(__xludf.DUMMYFUNCTION("""COMPUTED_VALUE"""),"GAZ:00000905")</f>
        <v>GAZ:00000905</v>
      </c>
      <c r="D1317"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317" s="29"/>
      <c r="F1317" s="29"/>
      <c r="G1317" s="29"/>
      <c r="H1317" s="54" t="s">
        <v>19</v>
      </c>
      <c r="I1317" s="54" t="s">
        <v>19</v>
      </c>
      <c r="J1317" s="54" t="s">
        <v>19</v>
      </c>
      <c r="K1317" s="52" t="str">
        <f t="shared" si="74"/>
        <v>Mpox</v>
      </c>
      <c r="M1317" s="55"/>
    </row>
    <row r="1318">
      <c r="A1318" s="29"/>
      <c r="B1318" s="50" t="str">
        <f>IFERROR(__xludf.DUMMYFUNCTION("""COMPUTED_VALUE"""),"Burundi                    ")</f>
        <v>Burundi                    </v>
      </c>
      <c r="C1318" s="29" t="str">
        <f>IFERROR(__xludf.DUMMYFUNCTION("""COMPUTED_VALUE"""),"GAZ:00001090")</f>
        <v>GAZ:00001090</v>
      </c>
      <c r="D1318"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318" s="29"/>
      <c r="F1318" s="29"/>
      <c r="G1318" s="29"/>
      <c r="H1318" s="54" t="s">
        <v>19</v>
      </c>
      <c r="I1318" s="54" t="s">
        <v>19</v>
      </c>
      <c r="J1318" s="54" t="s">
        <v>19</v>
      </c>
      <c r="K1318" s="52" t="str">
        <f t="shared" si="74"/>
        <v>Mpox</v>
      </c>
      <c r="M1318" s="55"/>
    </row>
    <row r="1319">
      <c r="A1319" s="29"/>
      <c r="B1319" s="50" t="str">
        <f>IFERROR(__xludf.DUMMYFUNCTION("""COMPUTED_VALUE"""),"Cambodia                    ")</f>
        <v>Cambodia                    </v>
      </c>
      <c r="C1319" s="29" t="str">
        <f>IFERROR(__xludf.DUMMYFUNCTION("""COMPUTED_VALUE"""),"GAZ:00006888")</f>
        <v>GAZ:00006888</v>
      </c>
      <c r="D1319"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319" s="29"/>
      <c r="F1319" s="29"/>
      <c r="G1319" s="29"/>
      <c r="H1319" s="54" t="s">
        <v>19</v>
      </c>
      <c r="I1319" s="54" t="s">
        <v>19</v>
      </c>
      <c r="J1319" s="54" t="s">
        <v>19</v>
      </c>
      <c r="K1319" s="52" t="str">
        <f t="shared" si="74"/>
        <v>Mpox</v>
      </c>
      <c r="M1319" s="55"/>
    </row>
    <row r="1320">
      <c r="A1320" s="29"/>
      <c r="B1320" s="50" t="str">
        <f>IFERROR(__xludf.DUMMYFUNCTION("""COMPUTED_VALUE"""),"Cameroon                    ")</f>
        <v>Cameroon                    </v>
      </c>
      <c r="C1320" s="29" t="str">
        <f>IFERROR(__xludf.DUMMYFUNCTION("""COMPUTED_VALUE"""),"GAZ:00001093")</f>
        <v>GAZ:00001093</v>
      </c>
      <c r="D1320"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320" s="29"/>
      <c r="F1320" s="29"/>
      <c r="G1320" s="29"/>
      <c r="H1320" s="54" t="s">
        <v>19</v>
      </c>
      <c r="I1320" s="54" t="s">
        <v>19</v>
      </c>
      <c r="J1320" s="54" t="s">
        <v>19</v>
      </c>
      <c r="K1320" s="52" t="str">
        <f t="shared" si="74"/>
        <v>Mpox</v>
      </c>
      <c r="M1320" s="55"/>
    </row>
    <row r="1321">
      <c r="A1321" s="29"/>
      <c r="B1321" s="50" t="str">
        <f>IFERROR(__xludf.DUMMYFUNCTION("""COMPUTED_VALUE"""),"Canada                    ")</f>
        <v>Canada                    </v>
      </c>
      <c r="C1321" s="29" t="str">
        <f>IFERROR(__xludf.DUMMYFUNCTION("""COMPUTED_VALUE"""),"GAZ:00002560")</f>
        <v>GAZ:00002560</v>
      </c>
      <c r="D1321"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321" s="29"/>
      <c r="F1321" s="29"/>
      <c r="G1321" s="29"/>
      <c r="H1321" s="54" t="s">
        <v>19</v>
      </c>
      <c r="I1321" s="54" t="s">
        <v>19</v>
      </c>
      <c r="J1321" s="54" t="s">
        <v>19</v>
      </c>
      <c r="K1321" s="52" t="str">
        <f t="shared" si="74"/>
        <v>Mpox</v>
      </c>
      <c r="M1321" s="55"/>
    </row>
    <row r="1322">
      <c r="A1322" s="29"/>
      <c r="B1322" s="50" t="str">
        <f>IFERROR(__xludf.DUMMYFUNCTION("""COMPUTED_VALUE"""),"Cape Verde                    ")</f>
        <v>Cape Verde                    </v>
      </c>
      <c r="C1322" s="29" t="str">
        <f>IFERROR(__xludf.DUMMYFUNCTION("""COMPUTED_VALUE"""),"GAZ:00001227")</f>
        <v>GAZ:00001227</v>
      </c>
      <c r="D1322"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322" s="29"/>
      <c r="F1322" s="29"/>
      <c r="G1322" s="29"/>
      <c r="H1322" s="54" t="s">
        <v>19</v>
      </c>
      <c r="I1322" s="54" t="s">
        <v>19</v>
      </c>
      <c r="J1322" s="54" t="s">
        <v>19</v>
      </c>
      <c r="K1322" s="52" t="str">
        <f t="shared" si="74"/>
        <v>Mpox</v>
      </c>
      <c r="M1322" s="55"/>
    </row>
    <row r="1323">
      <c r="A1323" s="29"/>
      <c r="B1323" s="50" t="str">
        <f>IFERROR(__xludf.DUMMYFUNCTION("""COMPUTED_VALUE"""),"Cayman Islands                    ")</f>
        <v>Cayman Islands                    </v>
      </c>
      <c r="C1323" s="29" t="str">
        <f>IFERROR(__xludf.DUMMYFUNCTION("""COMPUTED_VALUE"""),"GAZ:00003986")</f>
        <v>GAZ:00003986</v>
      </c>
      <c r="D1323"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323" s="29"/>
      <c r="F1323" s="29"/>
      <c r="G1323" s="29"/>
      <c r="H1323" s="54" t="s">
        <v>19</v>
      </c>
      <c r="I1323" s="54" t="s">
        <v>19</v>
      </c>
      <c r="J1323" s="54" t="s">
        <v>19</v>
      </c>
      <c r="K1323" s="52" t="str">
        <f t="shared" si="74"/>
        <v>Mpox</v>
      </c>
      <c r="M1323" s="55"/>
    </row>
    <row r="1324">
      <c r="A1324" s="29"/>
      <c r="B1324" s="50" t="str">
        <f>IFERROR(__xludf.DUMMYFUNCTION("""COMPUTED_VALUE"""),"Central African Republic                    ")</f>
        <v>Central African Republic                    </v>
      </c>
      <c r="C1324" s="29" t="str">
        <f>IFERROR(__xludf.DUMMYFUNCTION("""COMPUTED_VALUE"""),"GAZ:00001089")</f>
        <v>GAZ:00001089</v>
      </c>
      <c r="D1324"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324" s="29"/>
      <c r="F1324" s="29"/>
      <c r="G1324" s="29"/>
      <c r="H1324" s="54" t="s">
        <v>19</v>
      </c>
      <c r="I1324" s="54" t="s">
        <v>19</v>
      </c>
      <c r="J1324" s="54" t="s">
        <v>19</v>
      </c>
      <c r="K1324" s="52" t="str">
        <f t="shared" si="74"/>
        <v>Mpox</v>
      </c>
      <c r="M1324" s="55"/>
    </row>
    <row r="1325">
      <c r="A1325" s="29"/>
      <c r="B1325" s="50" t="str">
        <f>IFERROR(__xludf.DUMMYFUNCTION("""COMPUTED_VALUE"""),"Chad                    ")</f>
        <v>Chad                    </v>
      </c>
      <c r="C1325" s="29" t="str">
        <f>IFERROR(__xludf.DUMMYFUNCTION("""COMPUTED_VALUE"""),"GAZ:00000586")</f>
        <v>GAZ:00000586</v>
      </c>
      <c r="D1325"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325" s="29"/>
      <c r="F1325" s="29"/>
      <c r="G1325" s="29"/>
      <c r="H1325" s="54" t="s">
        <v>19</v>
      </c>
      <c r="I1325" s="54" t="s">
        <v>19</v>
      </c>
      <c r="J1325" s="54" t="s">
        <v>19</v>
      </c>
      <c r="K1325" s="52" t="str">
        <f t="shared" si="74"/>
        <v>Mpox</v>
      </c>
      <c r="M1325" s="55"/>
    </row>
    <row r="1326">
      <c r="A1326" s="29"/>
      <c r="B1326" s="50" t="str">
        <f>IFERROR(__xludf.DUMMYFUNCTION("""COMPUTED_VALUE"""),"Chile                    ")</f>
        <v>Chile                    </v>
      </c>
      <c r="C1326" s="29" t="str">
        <f>IFERROR(__xludf.DUMMYFUNCTION("""COMPUTED_VALUE"""),"GAZ:00002825")</f>
        <v>GAZ:00002825</v>
      </c>
      <c r="D1326"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326" s="29"/>
      <c r="F1326" s="29"/>
      <c r="G1326" s="29"/>
      <c r="H1326" s="54" t="s">
        <v>19</v>
      </c>
      <c r="I1326" s="54" t="s">
        <v>19</v>
      </c>
      <c r="J1326" s="54" t="s">
        <v>19</v>
      </c>
      <c r="K1326" s="52" t="str">
        <f t="shared" si="74"/>
        <v>Mpox</v>
      </c>
      <c r="M1326" s="55"/>
    </row>
    <row r="1327">
      <c r="A1327" s="29"/>
      <c r="B1327" s="50" t="str">
        <f>IFERROR(__xludf.DUMMYFUNCTION("""COMPUTED_VALUE"""),"China                    ")</f>
        <v>China                    </v>
      </c>
      <c r="C1327" s="29" t="str">
        <f>IFERROR(__xludf.DUMMYFUNCTION("""COMPUTED_VALUE"""),"GAZ:00002845")</f>
        <v>GAZ:00002845</v>
      </c>
      <c r="D1327"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327" s="29"/>
      <c r="F1327" s="29"/>
      <c r="G1327" s="29"/>
      <c r="H1327" s="54" t="s">
        <v>19</v>
      </c>
      <c r="I1327" s="54" t="s">
        <v>19</v>
      </c>
      <c r="J1327" s="54" t="s">
        <v>19</v>
      </c>
      <c r="K1327" s="52" t="str">
        <f t="shared" si="74"/>
        <v>Mpox</v>
      </c>
      <c r="M1327" s="55"/>
    </row>
    <row r="1328">
      <c r="A1328" s="29"/>
      <c r="B1328" s="50" t="str">
        <f>IFERROR(__xludf.DUMMYFUNCTION("""COMPUTED_VALUE"""),"Christmas Island                    ")</f>
        <v>Christmas Island                    </v>
      </c>
      <c r="C1328" s="29" t="str">
        <f>IFERROR(__xludf.DUMMYFUNCTION("""COMPUTED_VALUE"""),"GAZ:00005915")</f>
        <v>GAZ:00005915</v>
      </c>
      <c r="D1328"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328" s="29"/>
      <c r="F1328" s="29"/>
      <c r="G1328" s="29"/>
      <c r="H1328" s="54" t="s">
        <v>19</v>
      </c>
      <c r="I1328" s="54" t="s">
        <v>19</v>
      </c>
      <c r="J1328" s="54" t="s">
        <v>19</v>
      </c>
      <c r="K1328" s="52" t="str">
        <f t="shared" si="74"/>
        <v>Mpox</v>
      </c>
      <c r="M1328" s="55"/>
    </row>
    <row r="1329">
      <c r="A1329" s="29"/>
      <c r="B1329" s="50" t="str">
        <f>IFERROR(__xludf.DUMMYFUNCTION("""COMPUTED_VALUE"""),"Clipperton Island                    ")</f>
        <v>Clipperton Island                    </v>
      </c>
      <c r="C1329" s="29" t="str">
        <f>IFERROR(__xludf.DUMMYFUNCTION("""COMPUTED_VALUE"""),"GAZ:00005838")</f>
        <v>GAZ:00005838</v>
      </c>
      <c r="D1329" s="29" t="str">
        <f>IFERROR(__xludf.DUMMYFUNCTION("""COMPUTED_VALUE"""),"A nine-square km coral atoll in the North Pacific Ocean, southwest of Mexico and west of Costa Rica.")</f>
        <v>A nine-square km coral atoll in the North Pacific Ocean, southwest of Mexico and west of Costa Rica.</v>
      </c>
      <c r="E1329" s="29"/>
      <c r="F1329" s="29"/>
      <c r="G1329" s="29"/>
      <c r="H1329" s="54" t="s">
        <v>19</v>
      </c>
      <c r="I1329" s="54" t="s">
        <v>19</v>
      </c>
      <c r="J1329" s="54" t="s">
        <v>19</v>
      </c>
      <c r="K1329" s="52" t="str">
        <f t="shared" si="74"/>
        <v>Mpox</v>
      </c>
      <c r="M1329" s="55"/>
    </row>
    <row r="1330">
      <c r="A1330" s="29"/>
      <c r="B1330" s="50" t="str">
        <f>IFERROR(__xludf.DUMMYFUNCTION("""COMPUTED_VALUE"""),"Cocos Islands                    ")</f>
        <v>Cocos Islands                    </v>
      </c>
      <c r="C1330" s="29" t="str">
        <f>IFERROR(__xludf.DUMMYFUNCTION("""COMPUTED_VALUE"""),"GAZ:00009721")</f>
        <v>GAZ:00009721</v>
      </c>
      <c r="D1330"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330" s="29"/>
      <c r="F1330" s="29"/>
      <c r="G1330" s="29"/>
      <c r="H1330" s="54" t="s">
        <v>19</v>
      </c>
      <c r="I1330" s="54" t="s">
        <v>19</v>
      </c>
      <c r="J1330" s="54" t="s">
        <v>19</v>
      </c>
      <c r="K1330" s="52" t="str">
        <f t="shared" si="74"/>
        <v>Mpox</v>
      </c>
      <c r="M1330" s="55"/>
    </row>
    <row r="1331">
      <c r="A1331" s="29"/>
      <c r="B1331" s="50" t="str">
        <f>IFERROR(__xludf.DUMMYFUNCTION("""COMPUTED_VALUE"""),"Colombia                    ")</f>
        <v>Colombia                    </v>
      </c>
      <c r="C1331" s="29" t="str">
        <f>IFERROR(__xludf.DUMMYFUNCTION("""COMPUTED_VALUE"""),"GAZ:00002929")</f>
        <v>GAZ:00002929</v>
      </c>
      <c r="D1331"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331" s="29"/>
      <c r="F1331" s="29"/>
      <c r="G1331" s="29"/>
      <c r="H1331" s="54" t="s">
        <v>19</v>
      </c>
      <c r="I1331" s="54" t="s">
        <v>19</v>
      </c>
      <c r="J1331" s="54" t="s">
        <v>19</v>
      </c>
      <c r="K1331" s="52" t="str">
        <f t="shared" si="74"/>
        <v>Mpox</v>
      </c>
      <c r="M1331" s="55"/>
    </row>
    <row r="1332">
      <c r="A1332" s="29"/>
      <c r="B1332" s="50" t="str">
        <f>IFERROR(__xludf.DUMMYFUNCTION("""COMPUTED_VALUE"""),"Comoros                    ")</f>
        <v>Comoros                    </v>
      </c>
      <c r="C1332" s="29" t="str">
        <f>IFERROR(__xludf.DUMMYFUNCTION("""COMPUTED_VALUE"""),"GAZ:00005820")</f>
        <v>GAZ:00005820</v>
      </c>
      <c r="D1332"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332" s="29"/>
      <c r="F1332" s="29"/>
      <c r="G1332" s="29"/>
      <c r="H1332" s="54" t="s">
        <v>19</v>
      </c>
      <c r="I1332" s="54" t="s">
        <v>19</v>
      </c>
      <c r="J1332" s="54" t="s">
        <v>19</v>
      </c>
      <c r="K1332" s="52" t="str">
        <f t="shared" si="74"/>
        <v>Mpox</v>
      </c>
      <c r="M1332" s="55"/>
    </row>
    <row r="1333">
      <c r="A1333" s="29"/>
      <c r="B1333" s="50" t="str">
        <f>IFERROR(__xludf.DUMMYFUNCTION("""COMPUTED_VALUE"""),"Cook Islands                    ")</f>
        <v>Cook Islands                    </v>
      </c>
      <c r="C1333" s="29" t="str">
        <f>IFERROR(__xludf.DUMMYFUNCTION("""COMPUTED_VALUE"""),"GAZ:00053798")</f>
        <v>GAZ:00053798</v>
      </c>
      <c r="D1333"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333" s="29"/>
      <c r="F1333" s="29"/>
      <c r="G1333" s="29"/>
      <c r="H1333" s="54" t="s">
        <v>19</v>
      </c>
      <c r="I1333" s="54" t="s">
        <v>19</v>
      </c>
      <c r="J1333" s="54" t="s">
        <v>19</v>
      </c>
      <c r="K1333" s="52" t="str">
        <f t="shared" si="74"/>
        <v>Mpox</v>
      </c>
      <c r="M1333" s="55"/>
    </row>
    <row r="1334">
      <c r="A1334" s="29"/>
      <c r="B1334" s="50" t="str">
        <f>IFERROR(__xludf.DUMMYFUNCTION("""COMPUTED_VALUE"""),"Coral Sea Islands                    ")</f>
        <v>Coral Sea Islands                    </v>
      </c>
      <c r="C1334" s="29" t="str">
        <f>IFERROR(__xludf.DUMMYFUNCTION("""COMPUTED_VALUE"""),"GAZ:00005917")</f>
        <v>GAZ:00005917</v>
      </c>
      <c r="D1334"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334" s="29"/>
      <c r="F1334" s="29"/>
      <c r="G1334" s="29"/>
      <c r="H1334" s="54" t="s">
        <v>19</v>
      </c>
      <c r="I1334" s="54" t="s">
        <v>19</v>
      </c>
      <c r="J1334" s="54" t="s">
        <v>19</v>
      </c>
      <c r="K1334" s="52" t="str">
        <f t="shared" si="74"/>
        <v>Mpox</v>
      </c>
      <c r="M1334" s="55"/>
    </row>
    <row r="1335">
      <c r="A1335" s="29"/>
      <c r="B1335" s="50" t="str">
        <f>IFERROR(__xludf.DUMMYFUNCTION("""COMPUTED_VALUE"""),"Costa Rica                    ")</f>
        <v>Costa Rica                    </v>
      </c>
      <c r="C1335" s="29" t="str">
        <f>IFERROR(__xludf.DUMMYFUNCTION("""COMPUTED_VALUE"""),"GAZ:00002901")</f>
        <v>GAZ:00002901</v>
      </c>
      <c r="D1335"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335" s="29"/>
      <c r="F1335" s="29"/>
      <c r="G1335" s="29"/>
      <c r="H1335" s="54" t="s">
        <v>19</v>
      </c>
      <c r="I1335" s="54" t="s">
        <v>19</v>
      </c>
      <c r="J1335" s="54" t="s">
        <v>19</v>
      </c>
      <c r="K1335" s="52" t="str">
        <f t="shared" si="74"/>
        <v>Mpox</v>
      </c>
      <c r="M1335" s="55"/>
    </row>
    <row r="1336">
      <c r="A1336" s="29"/>
      <c r="B1336" s="50" t="str">
        <f>IFERROR(__xludf.DUMMYFUNCTION("""COMPUTED_VALUE"""),"Cote d'Ivoire                    ")</f>
        <v>Cote d'Ivoire                    </v>
      </c>
      <c r="C1336" s="29" t="str">
        <f>IFERROR(__xludf.DUMMYFUNCTION("""COMPUTED_VALUE"""),"GAZ:00000906")</f>
        <v>GAZ:00000906</v>
      </c>
      <c r="D1336"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336" s="29"/>
      <c r="F1336" s="29"/>
      <c r="G1336" s="29"/>
      <c r="H1336" s="54" t="s">
        <v>19</v>
      </c>
      <c r="I1336" s="54" t="s">
        <v>19</v>
      </c>
      <c r="J1336" s="54" t="s">
        <v>19</v>
      </c>
      <c r="K1336" s="52" t="str">
        <f t="shared" si="74"/>
        <v>Mpox</v>
      </c>
      <c r="M1336" s="55"/>
    </row>
    <row r="1337">
      <c r="A1337" s="29"/>
      <c r="B1337" s="50" t="str">
        <f>IFERROR(__xludf.DUMMYFUNCTION("""COMPUTED_VALUE"""),"Croatia                    ")</f>
        <v>Croatia                    </v>
      </c>
      <c r="C1337" s="29" t="str">
        <f>IFERROR(__xludf.DUMMYFUNCTION("""COMPUTED_VALUE"""),"GAZ:00002719")</f>
        <v>GAZ:00002719</v>
      </c>
      <c r="D1337"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337" s="29"/>
      <c r="F1337" s="29"/>
      <c r="G1337" s="29"/>
      <c r="H1337" s="54" t="s">
        <v>19</v>
      </c>
      <c r="I1337" s="54" t="s">
        <v>19</v>
      </c>
      <c r="J1337" s="54" t="s">
        <v>19</v>
      </c>
      <c r="K1337" s="52" t="str">
        <f t="shared" si="74"/>
        <v>Mpox</v>
      </c>
      <c r="M1337" s="55"/>
    </row>
    <row r="1338">
      <c r="A1338" s="29"/>
      <c r="B1338" s="50" t="str">
        <f>IFERROR(__xludf.DUMMYFUNCTION("""COMPUTED_VALUE"""),"Cuba                    ")</f>
        <v>Cuba                    </v>
      </c>
      <c r="C1338" s="29" t="str">
        <f>IFERROR(__xludf.DUMMYFUNCTION("""COMPUTED_VALUE"""),"GAZ:00003762")</f>
        <v>GAZ:00003762</v>
      </c>
      <c r="D1338"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338" s="29"/>
      <c r="F1338" s="29"/>
      <c r="G1338" s="29"/>
      <c r="H1338" s="54" t="s">
        <v>19</v>
      </c>
      <c r="I1338" s="54" t="s">
        <v>19</v>
      </c>
      <c r="J1338" s="54" t="s">
        <v>19</v>
      </c>
      <c r="K1338" s="52" t="str">
        <f t="shared" si="74"/>
        <v>Mpox</v>
      </c>
      <c r="M1338" s="55"/>
    </row>
    <row r="1339">
      <c r="A1339" s="29"/>
      <c r="B1339" s="50" t="str">
        <f>IFERROR(__xludf.DUMMYFUNCTION("""COMPUTED_VALUE"""),"Curacao                    ")</f>
        <v>Curacao                    </v>
      </c>
      <c r="C1339" s="29" t="str">
        <f>IFERROR(__xludf.DUMMYFUNCTION("""COMPUTED_VALUE"""),"GAZ:00012582")</f>
        <v>GAZ:00012582</v>
      </c>
      <c r="D1339" s="29" t="str">
        <f>IFERROR(__xludf.DUMMYFUNCTION("""COMPUTED_VALUE"""),"One of five island areas of the Netherlands Antilles.")</f>
        <v>One of five island areas of the Netherlands Antilles.</v>
      </c>
      <c r="E1339" s="29"/>
      <c r="F1339" s="29"/>
      <c r="G1339" s="29"/>
      <c r="H1339" s="54" t="s">
        <v>19</v>
      </c>
      <c r="I1339" s="54" t="s">
        <v>19</v>
      </c>
      <c r="J1339" s="54" t="s">
        <v>19</v>
      </c>
      <c r="K1339" s="52" t="str">
        <f t="shared" si="74"/>
        <v>Mpox</v>
      </c>
      <c r="M1339" s="55"/>
    </row>
    <row r="1340">
      <c r="A1340" s="29"/>
      <c r="B1340" s="50" t="str">
        <f>IFERROR(__xludf.DUMMYFUNCTION("""COMPUTED_VALUE"""),"Cyprus                    ")</f>
        <v>Cyprus                    </v>
      </c>
      <c r="C1340" s="29" t="str">
        <f>IFERROR(__xludf.DUMMYFUNCTION("""COMPUTED_VALUE"""),"GAZ:00004006")</f>
        <v>GAZ:00004006</v>
      </c>
      <c r="D1340"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340" s="29"/>
      <c r="F1340" s="29"/>
      <c r="G1340" s="29"/>
      <c r="H1340" s="54" t="s">
        <v>19</v>
      </c>
      <c r="I1340" s="54" t="s">
        <v>19</v>
      </c>
      <c r="J1340" s="54" t="s">
        <v>19</v>
      </c>
      <c r="K1340" s="52" t="str">
        <f t="shared" si="74"/>
        <v>Mpox</v>
      </c>
      <c r="M1340" s="55"/>
    </row>
    <row r="1341">
      <c r="A1341" s="29"/>
      <c r="B1341" s="50" t="str">
        <f>IFERROR(__xludf.DUMMYFUNCTION("""COMPUTED_VALUE"""),"Czech Republic                    ")</f>
        <v>Czech Republic                    </v>
      </c>
      <c r="C1341" s="29" t="str">
        <f>IFERROR(__xludf.DUMMYFUNCTION("""COMPUTED_VALUE"""),"GAZ:00002954")</f>
        <v>GAZ:00002954</v>
      </c>
      <c r="D1341"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341" s="29"/>
      <c r="F1341" s="29"/>
      <c r="G1341" s="29"/>
      <c r="H1341" s="54" t="s">
        <v>19</v>
      </c>
      <c r="I1341" s="54" t="s">
        <v>19</v>
      </c>
      <c r="J1341" s="54" t="s">
        <v>19</v>
      </c>
      <c r="K1341" s="52" t="str">
        <f t="shared" si="74"/>
        <v>Mpox</v>
      </c>
      <c r="M1341" s="55"/>
    </row>
    <row r="1342">
      <c r="A1342" s="29"/>
      <c r="B1342" s="50" t="str">
        <f>IFERROR(__xludf.DUMMYFUNCTION("""COMPUTED_VALUE"""),"Democratic Republic of the Congo                    ")</f>
        <v>Democratic Republic of the Congo                    </v>
      </c>
      <c r="C1342" s="29" t="str">
        <f>IFERROR(__xludf.DUMMYFUNCTION("""COMPUTED_VALUE"""),"GAZ:00001086")</f>
        <v>GAZ:00001086</v>
      </c>
      <c r="D1342"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342" s="29"/>
      <c r="F1342" s="29"/>
      <c r="G1342" s="29"/>
      <c r="H1342" s="54" t="s">
        <v>19</v>
      </c>
      <c r="I1342" s="54" t="s">
        <v>19</v>
      </c>
      <c r="J1342" s="54" t="s">
        <v>19</v>
      </c>
      <c r="K1342" s="52" t="str">
        <f t="shared" si="74"/>
        <v>Mpox</v>
      </c>
      <c r="M1342" s="55"/>
    </row>
    <row r="1343">
      <c r="A1343" s="29"/>
      <c r="B1343" s="50" t="str">
        <f>IFERROR(__xludf.DUMMYFUNCTION("""COMPUTED_VALUE"""),"Denmark                    ")</f>
        <v>Denmark                    </v>
      </c>
      <c r="C1343" s="29" t="str">
        <f>IFERROR(__xludf.DUMMYFUNCTION("""COMPUTED_VALUE"""),"GAZ:00005852")</f>
        <v>GAZ:00005852</v>
      </c>
      <c r="D1343"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343" s="29"/>
      <c r="F1343" s="29"/>
      <c r="G1343" s="29"/>
      <c r="H1343" s="54" t="s">
        <v>19</v>
      </c>
      <c r="I1343" s="54" t="s">
        <v>19</v>
      </c>
      <c r="J1343" s="54" t="s">
        <v>19</v>
      </c>
      <c r="K1343" s="52" t="str">
        <f t="shared" si="74"/>
        <v>Mpox</v>
      </c>
      <c r="M1343" s="55"/>
    </row>
    <row r="1344">
      <c r="A1344" s="29"/>
      <c r="B1344" s="50" t="str">
        <f>IFERROR(__xludf.DUMMYFUNCTION("""COMPUTED_VALUE"""),"Djibouti                    ")</f>
        <v>Djibouti                    </v>
      </c>
      <c r="C1344" s="29" t="str">
        <f>IFERROR(__xludf.DUMMYFUNCTION("""COMPUTED_VALUE"""),"GAZ:00000582")</f>
        <v>GAZ:00000582</v>
      </c>
      <c r="D1344"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344" s="29"/>
      <c r="F1344" s="29"/>
      <c r="G1344" s="29"/>
      <c r="H1344" s="54" t="s">
        <v>19</v>
      </c>
      <c r="I1344" s="54" t="s">
        <v>19</v>
      </c>
      <c r="J1344" s="54" t="s">
        <v>19</v>
      </c>
      <c r="K1344" s="52" t="str">
        <f t="shared" si="74"/>
        <v>Mpox</v>
      </c>
      <c r="M1344" s="55"/>
    </row>
    <row r="1345">
      <c r="A1345" s="29"/>
      <c r="B1345" s="50" t="str">
        <f>IFERROR(__xludf.DUMMYFUNCTION("""COMPUTED_VALUE"""),"Dominica                    ")</f>
        <v>Dominica                    </v>
      </c>
      <c r="C1345" s="29" t="str">
        <f>IFERROR(__xludf.DUMMYFUNCTION("""COMPUTED_VALUE"""),"GAZ:00006890")</f>
        <v>GAZ:00006890</v>
      </c>
      <c r="D1345" s="29" t="str">
        <f>IFERROR(__xludf.DUMMYFUNCTION("""COMPUTED_VALUE"""),"An island nation in the Caribbean Sea. Dominica is divided into ten parishes.")</f>
        <v>An island nation in the Caribbean Sea. Dominica is divided into ten parishes.</v>
      </c>
      <c r="E1345" s="29"/>
      <c r="F1345" s="29"/>
      <c r="G1345" s="29"/>
      <c r="H1345" s="54" t="s">
        <v>19</v>
      </c>
      <c r="I1345" s="54" t="s">
        <v>19</v>
      </c>
      <c r="J1345" s="54" t="s">
        <v>19</v>
      </c>
      <c r="K1345" s="52" t="str">
        <f t="shared" si="74"/>
        <v>Mpox</v>
      </c>
      <c r="M1345" s="55"/>
    </row>
    <row r="1346">
      <c r="A1346" s="29"/>
      <c r="B1346" s="50" t="str">
        <f>IFERROR(__xludf.DUMMYFUNCTION("""COMPUTED_VALUE"""),"Dominican Republic                    ")</f>
        <v>Dominican Republic                    </v>
      </c>
      <c r="C1346" s="29" t="str">
        <f>IFERROR(__xludf.DUMMYFUNCTION("""COMPUTED_VALUE"""),"GAZ:00003952")</f>
        <v>GAZ:00003952</v>
      </c>
      <c r="D1346"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346" s="29"/>
      <c r="F1346" s="29"/>
      <c r="G1346" s="29"/>
      <c r="H1346" s="54" t="s">
        <v>19</v>
      </c>
      <c r="I1346" s="54" t="s">
        <v>19</v>
      </c>
      <c r="J1346" s="54" t="s">
        <v>19</v>
      </c>
      <c r="K1346" s="52" t="str">
        <f t="shared" si="74"/>
        <v>Mpox</v>
      </c>
      <c r="M1346" s="55"/>
    </row>
    <row r="1347">
      <c r="A1347" s="29"/>
      <c r="B1347" s="50" t="str">
        <f>IFERROR(__xludf.DUMMYFUNCTION("""COMPUTED_VALUE"""),"Ecuador                    ")</f>
        <v>Ecuador                    </v>
      </c>
      <c r="C1347" s="29" t="str">
        <f>IFERROR(__xludf.DUMMYFUNCTION("""COMPUTED_VALUE"""),"GAZ:00002912")</f>
        <v>GAZ:00002912</v>
      </c>
      <c r="D1347"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347" s="29"/>
      <c r="F1347" s="29"/>
      <c r="G1347" s="29"/>
      <c r="H1347" s="54" t="s">
        <v>19</v>
      </c>
      <c r="I1347" s="54" t="s">
        <v>19</v>
      </c>
      <c r="J1347" s="54" t="s">
        <v>19</v>
      </c>
      <c r="K1347" s="52" t="str">
        <f t="shared" si="74"/>
        <v>Mpox</v>
      </c>
      <c r="M1347" s="55"/>
    </row>
    <row r="1348">
      <c r="A1348" s="29"/>
      <c r="B1348" s="50" t="str">
        <f>IFERROR(__xludf.DUMMYFUNCTION("""COMPUTED_VALUE"""),"Egypt                    ")</f>
        <v>Egypt                    </v>
      </c>
      <c r="C1348" s="29" t="str">
        <f>IFERROR(__xludf.DUMMYFUNCTION("""COMPUTED_VALUE"""),"GAZ:00003934")</f>
        <v>GAZ:00003934</v>
      </c>
      <c r="D1348"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348" s="29"/>
      <c r="F1348" s="29"/>
      <c r="G1348" s="29"/>
      <c r="H1348" s="54" t="s">
        <v>19</v>
      </c>
      <c r="I1348" s="54" t="s">
        <v>19</v>
      </c>
      <c r="J1348" s="54" t="s">
        <v>19</v>
      </c>
      <c r="K1348" s="52" t="str">
        <f t="shared" si="74"/>
        <v>Mpox</v>
      </c>
      <c r="M1348" s="55"/>
    </row>
    <row r="1349">
      <c r="A1349" s="29"/>
      <c r="B1349" s="50" t="str">
        <f>IFERROR(__xludf.DUMMYFUNCTION("""COMPUTED_VALUE"""),"El Salvador                    ")</f>
        <v>El Salvador                    </v>
      </c>
      <c r="C1349" s="29" t="str">
        <f>IFERROR(__xludf.DUMMYFUNCTION("""COMPUTED_VALUE"""),"GAZ:00002935")</f>
        <v>GAZ:00002935</v>
      </c>
      <c r="D1349"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349" s="29"/>
      <c r="F1349" s="29"/>
      <c r="G1349" s="29"/>
      <c r="H1349" s="54" t="s">
        <v>19</v>
      </c>
      <c r="I1349" s="54" t="s">
        <v>19</v>
      </c>
      <c r="J1349" s="54" t="s">
        <v>19</v>
      </c>
      <c r="K1349" s="52" t="str">
        <f t="shared" si="74"/>
        <v>Mpox</v>
      </c>
      <c r="M1349" s="55"/>
    </row>
    <row r="1350">
      <c r="A1350" s="29"/>
      <c r="B1350" s="50" t="str">
        <f>IFERROR(__xludf.DUMMYFUNCTION("""COMPUTED_VALUE"""),"Equatorial Guinea                    ")</f>
        <v>Equatorial Guinea                    </v>
      </c>
      <c r="C1350" s="29" t="str">
        <f>IFERROR(__xludf.DUMMYFUNCTION("""COMPUTED_VALUE"""),"GAZ:00001091")</f>
        <v>GAZ:00001091</v>
      </c>
      <c r="D1350"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350" s="29"/>
      <c r="F1350" s="29"/>
      <c r="G1350" s="29"/>
      <c r="H1350" s="54" t="s">
        <v>19</v>
      </c>
      <c r="I1350" s="54" t="s">
        <v>19</v>
      </c>
      <c r="J1350" s="54" t="s">
        <v>19</v>
      </c>
      <c r="K1350" s="52" t="str">
        <f t="shared" si="74"/>
        <v>Mpox</v>
      </c>
      <c r="M1350" s="55"/>
    </row>
    <row r="1351">
      <c r="A1351" s="29"/>
      <c r="B1351" s="50" t="str">
        <f>IFERROR(__xludf.DUMMYFUNCTION("""COMPUTED_VALUE"""),"Eritrea                    ")</f>
        <v>Eritrea                    </v>
      </c>
      <c r="C1351" s="29" t="str">
        <f>IFERROR(__xludf.DUMMYFUNCTION("""COMPUTED_VALUE"""),"GAZ:00000581")</f>
        <v>GAZ:00000581</v>
      </c>
      <c r="D1351"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351" s="29"/>
      <c r="F1351" s="29"/>
      <c r="G1351" s="29"/>
      <c r="H1351" s="54" t="s">
        <v>19</v>
      </c>
      <c r="I1351" s="54" t="s">
        <v>19</v>
      </c>
      <c r="J1351" s="54" t="s">
        <v>19</v>
      </c>
      <c r="K1351" s="52" t="str">
        <f t="shared" si="74"/>
        <v>Mpox</v>
      </c>
      <c r="M1351" s="55"/>
    </row>
    <row r="1352">
      <c r="A1352" s="29"/>
      <c r="B1352" s="50" t="str">
        <f>IFERROR(__xludf.DUMMYFUNCTION("""COMPUTED_VALUE"""),"Estonia                    ")</f>
        <v>Estonia                    </v>
      </c>
      <c r="C1352" s="29" t="str">
        <f>IFERROR(__xludf.DUMMYFUNCTION("""COMPUTED_VALUE"""),"GAZ:00002959")</f>
        <v>GAZ:00002959</v>
      </c>
      <c r="D1352"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352" s="29"/>
      <c r="F1352" s="29"/>
      <c r="G1352" s="29"/>
      <c r="H1352" s="54" t="s">
        <v>19</v>
      </c>
      <c r="I1352" s="54" t="s">
        <v>19</v>
      </c>
      <c r="J1352" s="54" t="s">
        <v>19</v>
      </c>
      <c r="K1352" s="52" t="str">
        <f t="shared" si="74"/>
        <v>Mpox</v>
      </c>
      <c r="M1352" s="55"/>
    </row>
    <row r="1353">
      <c r="A1353" s="29"/>
      <c r="B1353" s="50" t="str">
        <f>IFERROR(__xludf.DUMMYFUNCTION("""COMPUTED_VALUE"""),"Eswatini                    ")</f>
        <v>Eswatini                    </v>
      </c>
      <c r="C1353" s="29" t="str">
        <f>IFERROR(__xludf.DUMMYFUNCTION("""COMPUTED_VALUE"""),"GAZ:00001099")</f>
        <v>GAZ:00001099</v>
      </c>
      <c r="D1353"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53" s="29"/>
      <c r="F1353" s="29"/>
      <c r="G1353" s="29"/>
      <c r="H1353" s="54" t="s">
        <v>19</v>
      </c>
      <c r="I1353" s="54" t="s">
        <v>19</v>
      </c>
      <c r="J1353" s="54" t="s">
        <v>19</v>
      </c>
      <c r="K1353" s="52" t="str">
        <f t="shared" si="74"/>
        <v>Mpox</v>
      </c>
      <c r="M1353" s="55"/>
    </row>
    <row r="1354">
      <c r="A1354" s="29"/>
      <c r="B1354" s="50" t="str">
        <f>IFERROR(__xludf.DUMMYFUNCTION("""COMPUTED_VALUE"""),"Ethiopia                    ")</f>
        <v>Ethiopia                    </v>
      </c>
      <c r="C1354" s="29" t="str">
        <f>IFERROR(__xludf.DUMMYFUNCTION("""COMPUTED_VALUE"""),"GAZ:00000567")</f>
        <v>GAZ:00000567</v>
      </c>
      <c r="D1354"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354" s="29"/>
      <c r="F1354" s="29"/>
      <c r="G1354" s="29"/>
      <c r="H1354" s="54" t="s">
        <v>19</v>
      </c>
      <c r="I1354" s="54" t="s">
        <v>19</v>
      </c>
      <c r="J1354" s="54" t="s">
        <v>19</v>
      </c>
      <c r="K1354" s="52" t="str">
        <f t="shared" si="74"/>
        <v>Mpox</v>
      </c>
      <c r="M1354" s="55"/>
    </row>
    <row r="1355">
      <c r="A1355" s="29"/>
      <c r="B1355" s="50" t="str">
        <f>IFERROR(__xludf.DUMMYFUNCTION("""COMPUTED_VALUE"""),"Europa Island                    ")</f>
        <v>Europa Island                    </v>
      </c>
      <c r="C1355" s="29" t="str">
        <f>IFERROR(__xludf.DUMMYFUNCTION("""COMPUTED_VALUE"""),"GAZ:00005811")</f>
        <v>GAZ:00005811</v>
      </c>
      <c r="D1355"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355" s="29"/>
      <c r="F1355" s="29"/>
      <c r="G1355" s="29"/>
      <c r="H1355" s="54" t="s">
        <v>19</v>
      </c>
      <c r="I1355" s="54" t="s">
        <v>19</v>
      </c>
      <c r="J1355" s="54" t="s">
        <v>19</v>
      </c>
      <c r="K1355" s="52" t="str">
        <f t="shared" si="74"/>
        <v>Mpox</v>
      </c>
      <c r="M1355" s="55"/>
    </row>
    <row r="1356">
      <c r="A1356" s="29"/>
      <c r="B1356" s="50" t="str">
        <f>IFERROR(__xludf.DUMMYFUNCTION("""COMPUTED_VALUE"""),"Falkland Islands (Islas Malvinas)                    ")</f>
        <v>Falkland Islands (Islas Malvinas)                    </v>
      </c>
      <c r="C1356" s="29" t="str">
        <f>IFERROR(__xludf.DUMMYFUNCTION("""COMPUTED_VALUE"""),"GAZ:00001412")</f>
        <v>GAZ:00001412</v>
      </c>
      <c r="D1356"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356" s="29"/>
      <c r="F1356" s="29"/>
      <c r="G1356" s="29"/>
      <c r="H1356" s="54" t="s">
        <v>19</v>
      </c>
      <c r="I1356" s="54" t="s">
        <v>19</v>
      </c>
      <c r="J1356" s="54" t="s">
        <v>19</v>
      </c>
      <c r="K1356" s="52" t="str">
        <f t="shared" si="74"/>
        <v>Mpox</v>
      </c>
      <c r="M1356" s="55"/>
    </row>
    <row r="1357">
      <c r="A1357" s="29"/>
      <c r="B1357" s="50" t="str">
        <f>IFERROR(__xludf.DUMMYFUNCTION("""COMPUTED_VALUE"""),"Faroe Islands                    ")</f>
        <v>Faroe Islands                    </v>
      </c>
      <c r="C1357" s="29" t="str">
        <f>IFERROR(__xludf.DUMMYFUNCTION("""COMPUTED_VALUE"""),"GAZ:00059206")</f>
        <v>GAZ:00059206</v>
      </c>
      <c r="D1357"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357" s="29"/>
      <c r="F1357" s="29"/>
      <c r="G1357" s="29"/>
      <c r="H1357" s="54" t="s">
        <v>19</v>
      </c>
      <c r="I1357" s="54" t="s">
        <v>19</v>
      </c>
      <c r="J1357" s="54" t="s">
        <v>19</v>
      </c>
      <c r="K1357" s="52" t="str">
        <f t="shared" si="74"/>
        <v>Mpox</v>
      </c>
      <c r="M1357" s="55"/>
    </row>
    <row r="1358">
      <c r="A1358" s="29"/>
      <c r="B1358" s="50" t="str">
        <f>IFERROR(__xludf.DUMMYFUNCTION("""COMPUTED_VALUE"""),"Fiji                    ")</f>
        <v>Fiji                    </v>
      </c>
      <c r="C1358" s="29" t="str">
        <f>IFERROR(__xludf.DUMMYFUNCTION("""COMPUTED_VALUE"""),"GAZ:00006891")</f>
        <v>GAZ:00006891</v>
      </c>
      <c r="D1358"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358" s="29"/>
      <c r="F1358" s="29"/>
      <c r="G1358" s="29"/>
      <c r="H1358" s="54" t="s">
        <v>19</v>
      </c>
      <c r="I1358" s="54" t="s">
        <v>19</v>
      </c>
      <c r="J1358" s="54" t="s">
        <v>19</v>
      </c>
      <c r="K1358" s="52" t="str">
        <f t="shared" si="74"/>
        <v>Mpox</v>
      </c>
      <c r="M1358" s="55"/>
    </row>
    <row r="1359">
      <c r="A1359" s="29"/>
      <c r="B1359" s="50" t="str">
        <f>IFERROR(__xludf.DUMMYFUNCTION("""COMPUTED_VALUE"""),"Finland                    ")</f>
        <v>Finland                    </v>
      </c>
      <c r="C1359" s="29" t="str">
        <f>IFERROR(__xludf.DUMMYFUNCTION("""COMPUTED_VALUE"""),"GAZ:00002937")</f>
        <v>GAZ:00002937</v>
      </c>
      <c r="D1359"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359" s="29"/>
      <c r="F1359" s="29"/>
      <c r="G1359" s="29"/>
      <c r="H1359" s="54" t="s">
        <v>19</v>
      </c>
      <c r="I1359" s="54" t="s">
        <v>19</v>
      </c>
      <c r="J1359" s="54" t="s">
        <v>19</v>
      </c>
      <c r="K1359" s="52" t="str">
        <f t="shared" si="74"/>
        <v>Mpox</v>
      </c>
      <c r="M1359" s="55"/>
    </row>
    <row r="1360">
      <c r="A1360" s="29"/>
      <c r="B1360" s="50" t="str">
        <f>IFERROR(__xludf.DUMMYFUNCTION("""COMPUTED_VALUE"""),"France                    ")</f>
        <v>France                    </v>
      </c>
      <c r="C1360" s="29" t="str">
        <f>IFERROR(__xludf.DUMMYFUNCTION("""COMPUTED_VALUE"""),"GAZ:00003940")</f>
        <v>GAZ:00003940</v>
      </c>
      <c r="D1360"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360" s="29"/>
      <c r="F1360" s="29"/>
      <c r="G1360" s="29"/>
      <c r="H1360" s="54" t="s">
        <v>19</v>
      </c>
      <c r="I1360" s="54" t="s">
        <v>19</v>
      </c>
      <c r="J1360" s="54" t="s">
        <v>19</v>
      </c>
      <c r="K1360" s="52" t="str">
        <f t="shared" si="74"/>
        <v>Mpox</v>
      </c>
      <c r="M1360" s="55"/>
    </row>
    <row r="1361">
      <c r="A1361" s="29"/>
      <c r="B1361" s="50" t="str">
        <f>IFERROR(__xludf.DUMMYFUNCTION("""COMPUTED_VALUE"""),"French Guiana                    ")</f>
        <v>French Guiana                    </v>
      </c>
      <c r="C1361" s="29" t="str">
        <f>IFERROR(__xludf.DUMMYFUNCTION("""COMPUTED_VALUE"""),"GAZ:00002516")</f>
        <v>GAZ:00002516</v>
      </c>
      <c r="D1361"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361" s="29"/>
      <c r="F1361" s="29"/>
      <c r="G1361" s="29"/>
      <c r="H1361" s="54" t="s">
        <v>19</v>
      </c>
      <c r="I1361" s="54" t="s">
        <v>19</v>
      </c>
      <c r="J1361" s="54" t="s">
        <v>19</v>
      </c>
      <c r="K1361" s="52" t="str">
        <f t="shared" si="74"/>
        <v>Mpox</v>
      </c>
      <c r="M1361" s="55"/>
    </row>
    <row r="1362">
      <c r="A1362" s="29"/>
      <c r="B1362" s="50" t="str">
        <f>IFERROR(__xludf.DUMMYFUNCTION("""COMPUTED_VALUE"""),"French Polynesia                    ")</f>
        <v>French Polynesia                    </v>
      </c>
      <c r="C1362" s="29" t="str">
        <f>IFERROR(__xludf.DUMMYFUNCTION("""COMPUTED_VALUE"""),"GAZ:00002918")</f>
        <v>GAZ:00002918</v>
      </c>
      <c r="D1362"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362" s="29"/>
      <c r="F1362" s="29"/>
      <c r="G1362" s="29"/>
      <c r="H1362" s="54" t="s">
        <v>19</v>
      </c>
      <c r="I1362" s="54" t="s">
        <v>19</v>
      </c>
      <c r="J1362" s="54" t="s">
        <v>19</v>
      </c>
      <c r="K1362" s="52" t="str">
        <f t="shared" si="74"/>
        <v>Mpox</v>
      </c>
      <c r="M1362" s="55"/>
    </row>
    <row r="1363">
      <c r="A1363" s="29"/>
      <c r="B1363" s="50" t="str">
        <f>IFERROR(__xludf.DUMMYFUNCTION("""COMPUTED_VALUE"""),"French Southern and Antarctic Lands                    ")</f>
        <v>French Southern and Antarctic Lands                    </v>
      </c>
      <c r="C1363" s="29" t="str">
        <f>IFERROR(__xludf.DUMMYFUNCTION("""COMPUTED_VALUE"""),"GAZ:00003753")</f>
        <v>GAZ:00003753</v>
      </c>
      <c r="D1363"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363" s="29"/>
      <c r="F1363" s="29"/>
      <c r="G1363" s="29"/>
      <c r="H1363" s="54" t="s">
        <v>19</v>
      </c>
      <c r="I1363" s="54" t="s">
        <v>19</v>
      </c>
      <c r="J1363" s="54" t="s">
        <v>19</v>
      </c>
      <c r="K1363" s="52" t="str">
        <f t="shared" si="74"/>
        <v>Mpox</v>
      </c>
      <c r="M1363" s="55"/>
    </row>
    <row r="1364">
      <c r="A1364" s="29"/>
      <c r="B1364" s="50" t="str">
        <f>IFERROR(__xludf.DUMMYFUNCTION("""COMPUTED_VALUE"""),"Gabon                    ")</f>
        <v>Gabon                    </v>
      </c>
      <c r="C1364" s="29" t="str">
        <f>IFERROR(__xludf.DUMMYFUNCTION("""COMPUTED_VALUE"""),"GAZ:00001092")</f>
        <v>GAZ:00001092</v>
      </c>
      <c r="D1364"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364" s="29"/>
      <c r="F1364" s="29"/>
      <c r="G1364" s="29"/>
      <c r="H1364" s="54" t="s">
        <v>19</v>
      </c>
      <c r="I1364" s="54" t="s">
        <v>19</v>
      </c>
      <c r="J1364" s="54" t="s">
        <v>19</v>
      </c>
      <c r="K1364" s="52" t="str">
        <f t="shared" si="74"/>
        <v>Mpox</v>
      </c>
      <c r="M1364" s="55"/>
    </row>
    <row r="1365">
      <c r="A1365" s="29"/>
      <c r="B1365" s="50" t="str">
        <f>IFERROR(__xludf.DUMMYFUNCTION("""COMPUTED_VALUE"""),"Gambia                    ")</f>
        <v>Gambia                    </v>
      </c>
      <c r="C1365" s="29" t="str">
        <f>IFERROR(__xludf.DUMMYFUNCTION("""COMPUTED_VALUE"""),"GAZ:00000907")</f>
        <v>GAZ:00000907</v>
      </c>
      <c r="D1365"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365" s="29"/>
      <c r="F1365" s="29"/>
      <c r="G1365" s="29"/>
      <c r="H1365" s="54" t="s">
        <v>19</v>
      </c>
      <c r="I1365" s="54" t="s">
        <v>19</v>
      </c>
      <c r="J1365" s="54" t="s">
        <v>19</v>
      </c>
      <c r="K1365" s="52" t="str">
        <f t="shared" si="74"/>
        <v>Mpox</v>
      </c>
      <c r="M1365" s="55"/>
    </row>
    <row r="1366">
      <c r="A1366" s="29"/>
      <c r="B1366" s="50" t="str">
        <f>IFERROR(__xludf.DUMMYFUNCTION("""COMPUTED_VALUE"""),"Gaza Strip                    ")</f>
        <v>Gaza Strip                    </v>
      </c>
      <c r="C1366" s="29" t="str">
        <f>IFERROR(__xludf.DUMMYFUNCTION("""COMPUTED_VALUE"""),"GAZ:00009571")</f>
        <v>GAZ:00009571</v>
      </c>
      <c r="D1366"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366" s="29"/>
      <c r="F1366" s="29"/>
      <c r="G1366" s="29"/>
      <c r="H1366" s="54" t="s">
        <v>19</v>
      </c>
      <c r="I1366" s="54" t="s">
        <v>19</v>
      </c>
      <c r="J1366" s="54" t="s">
        <v>19</v>
      </c>
      <c r="K1366" s="52" t="str">
        <f t="shared" si="74"/>
        <v>Mpox</v>
      </c>
      <c r="M1366" s="55"/>
    </row>
    <row r="1367">
      <c r="A1367" s="29"/>
      <c r="B1367" s="50" t="str">
        <f>IFERROR(__xludf.DUMMYFUNCTION("""COMPUTED_VALUE"""),"Georgia                    ")</f>
        <v>Georgia                    </v>
      </c>
      <c r="C1367" s="29" t="str">
        <f>IFERROR(__xludf.DUMMYFUNCTION("""COMPUTED_VALUE"""),"GAZ:00004942")</f>
        <v>GAZ:00004942</v>
      </c>
      <c r="D1367"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367" s="29"/>
      <c r="F1367" s="29"/>
      <c r="G1367" s="29"/>
      <c r="H1367" s="54" t="s">
        <v>19</v>
      </c>
      <c r="I1367" s="54" t="s">
        <v>19</v>
      </c>
      <c r="J1367" s="54" t="s">
        <v>19</v>
      </c>
      <c r="K1367" s="52" t="str">
        <f t="shared" si="74"/>
        <v>Mpox</v>
      </c>
      <c r="M1367" s="55"/>
    </row>
    <row r="1368">
      <c r="A1368" s="29"/>
      <c r="B1368" s="50" t="str">
        <f>IFERROR(__xludf.DUMMYFUNCTION("""COMPUTED_VALUE"""),"Germany                    ")</f>
        <v>Germany                    </v>
      </c>
      <c r="C1368" s="29" t="str">
        <f>IFERROR(__xludf.DUMMYFUNCTION("""COMPUTED_VALUE"""),"GAZ:00002646")</f>
        <v>GAZ:00002646</v>
      </c>
      <c r="D1368"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368" s="29"/>
      <c r="F1368" s="29"/>
      <c r="G1368" s="29"/>
      <c r="H1368" s="54" t="s">
        <v>19</v>
      </c>
      <c r="I1368" s="54" t="s">
        <v>19</v>
      </c>
      <c r="J1368" s="54" t="s">
        <v>19</v>
      </c>
      <c r="K1368" s="52" t="str">
        <f t="shared" si="74"/>
        <v>Mpox</v>
      </c>
      <c r="M1368" s="55"/>
    </row>
    <row r="1369">
      <c r="A1369" s="29"/>
      <c r="B1369" s="50" t="str">
        <f>IFERROR(__xludf.DUMMYFUNCTION("""COMPUTED_VALUE"""),"Ghana                    ")</f>
        <v>Ghana                    </v>
      </c>
      <c r="C1369" s="29" t="str">
        <f>IFERROR(__xludf.DUMMYFUNCTION("""COMPUTED_VALUE"""),"GAZ:00000908")</f>
        <v>GAZ:00000908</v>
      </c>
      <c r="D1369"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369" s="29"/>
      <c r="F1369" s="29"/>
      <c r="G1369" s="29"/>
      <c r="H1369" s="54" t="s">
        <v>19</v>
      </c>
      <c r="I1369" s="54" t="s">
        <v>19</v>
      </c>
      <c r="J1369" s="54" t="s">
        <v>19</v>
      </c>
      <c r="K1369" s="52" t="str">
        <f t="shared" si="74"/>
        <v>Mpox</v>
      </c>
      <c r="M1369" s="55"/>
    </row>
    <row r="1370">
      <c r="A1370" s="29"/>
      <c r="B1370" s="50" t="str">
        <f>IFERROR(__xludf.DUMMYFUNCTION("""COMPUTED_VALUE"""),"Gibraltar                    ")</f>
        <v>Gibraltar                    </v>
      </c>
      <c r="C1370" s="29" t="str">
        <f>IFERROR(__xludf.DUMMYFUNCTION("""COMPUTED_VALUE"""),"GAZ:00003987")</f>
        <v>GAZ:00003987</v>
      </c>
      <c r="D1370"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370" s="29"/>
      <c r="F1370" s="29"/>
      <c r="G1370" s="29"/>
      <c r="H1370" s="54" t="s">
        <v>19</v>
      </c>
      <c r="I1370" s="54" t="s">
        <v>19</v>
      </c>
      <c r="J1370" s="54" t="s">
        <v>19</v>
      </c>
      <c r="K1370" s="52" t="str">
        <f t="shared" si="74"/>
        <v>Mpox</v>
      </c>
      <c r="M1370" s="55"/>
    </row>
    <row r="1371">
      <c r="A1371" s="29"/>
      <c r="B1371" s="50" t="str">
        <f>IFERROR(__xludf.DUMMYFUNCTION("""COMPUTED_VALUE"""),"Glorioso Islands                    ")</f>
        <v>Glorioso Islands                    </v>
      </c>
      <c r="C1371" s="29" t="str">
        <f>IFERROR(__xludf.DUMMYFUNCTION("""COMPUTED_VALUE"""),"GAZ:00005808")</f>
        <v>GAZ:00005808</v>
      </c>
      <c r="D1371"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371" s="29"/>
      <c r="F1371" s="29"/>
      <c r="G1371" s="29"/>
      <c r="H1371" s="54" t="s">
        <v>19</v>
      </c>
      <c r="I1371" s="54" t="s">
        <v>19</v>
      </c>
      <c r="J1371" s="54" t="s">
        <v>19</v>
      </c>
      <c r="K1371" s="52" t="str">
        <f t="shared" si="74"/>
        <v>Mpox</v>
      </c>
      <c r="M1371" s="55"/>
    </row>
    <row r="1372">
      <c r="A1372" s="29"/>
      <c r="B1372" s="50" t="str">
        <f>IFERROR(__xludf.DUMMYFUNCTION("""COMPUTED_VALUE"""),"Greece                    ")</f>
        <v>Greece                    </v>
      </c>
      <c r="C1372" s="29" t="str">
        <f>IFERROR(__xludf.DUMMYFUNCTION("""COMPUTED_VALUE"""),"GAZ:00002945")</f>
        <v>GAZ:00002945</v>
      </c>
      <c r="D1372"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372" s="29"/>
      <c r="F1372" s="29"/>
      <c r="G1372" s="29"/>
      <c r="H1372" s="54" t="s">
        <v>19</v>
      </c>
      <c r="I1372" s="54" t="s">
        <v>19</v>
      </c>
      <c r="J1372" s="54" t="s">
        <v>19</v>
      </c>
      <c r="K1372" s="52" t="str">
        <f t="shared" si="74"/>
        <v>Mpox</v>
      </c>
      <c r="M1372" s="55"/>
    </row>
    <row r="1373">
      <c r="A1373" s="29"/>
      <c r="B1373" s="50" t="str">
        <f>IFERROR(__xludf.DUMMYFUNCTION("""COMPUTED_VALUE"""),"Greenland                    ")</f>
        <v>Greenland                    </v>
      </c>
      <c r="C1373" s="29" t="str">
        <f>IFERROR(__xludf.DUMMYFUNCTION("""COMPUTED_VALUE"""),"GAZ:00001507")</f>
        <v>GAZ:00001507</v>
      </c>
      <c r="D1373"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373" s="29"/>
      <c r="F1373" s="29"/>
      <c r="G1373" s="29"/>
      <c r="H1373" s="54" t="s">
        <v>19</v>
      </c>
      <c r="I1373" s="54" t="s">
        <v>19</v>
      </c>
      <c r="J1373" s="54" t="s">
        <v>19</v>
      </c>
      <c r="K1373" s="52" t="str">
        <f t="shared" si="74"/>
        <v>Mpox</v>
      </c>
      <c r="M1373" s="55"/>
    </row>
    <row r="1374">
      <c r="A1374" s="29"/>
      <c r="B1374" s="50" t="str">
        <f>IFERROR(__xludf.DUMMYFUNCTION("""COMPUTED_VALUE"""),"Grenada                    ")</f>
        <v>Grenada                    </v>
      </c>
      <c r="C1374" s="29" t="str">
        <f>IFERROR(__xludf.DUMMYFUNCTION("""COMPUTED_VALUE"""),"GAZ:02000573")</f>
        <v>GAZ:02000573</v>
      </c>
      <c r="D1374"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374" s="29"/>
      <c r="F1374" s="29"/>
      <c r="G1374" s="29"/>
      <c r="H1374" s="54" t="s">
        <v>19</v>
      </c>
      <c r="I1374" s="54" t="s">
        <v>19</v>
      </c>
      <c r="J1374" s="54" t="s">
        <v>19</v>
      </c>
      <c r="K1374" s="52" t="str">
        <f t="shared" si="74"/>
        <v>Mpox</v>
      </c>
      <c r="M1374" s="55"/>
    </row>
    <row r="1375">
      <c r="A1375" s="29"/>
      <c r="B1375" s="50" t="str">
        <f>IFERROR(__xludf.DUMMYFUNCTION("""COMPUTED_VALUE"""),"Guadeloupe                    ")</f>
        <v>Guadeloupe                    </v>
      </c>
      <c r="C1375" s="29" t="str">
        <f>IFERROR(__xludf.DUMMYFUNCTION("""COMPUTED_VALUE"""),"GAZ:00067142")</f>
        <v>GAZ:00067142</v>
      </c>
      <c r="D1375"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375" s="29"/>
      <c r="F1375" s="29"/>
      <c r="G1375" s="29"/>
      <c r="H1375" s="54" t="s">
        <v>19</v>
      </c>
      <c r="I1375" s="54" t="s">
        <v>19</v>
      </c>
      <c r="J1375" s="54" t="s">
        <v>19</v>
      </c>
      <c r="K1375" s="52" t="str">
        <f t="shared" si="74"/>
        <v>Mpox</v>
      </c>
      <c r="M1375" s="55"/>
    </row>
    <row r="1376">
      <c r="A1376" s="29"/>
      <c r="B1376" s="50" t="str">
        <f>IFERROR(__xludf.DUMMYFUNCTION("""COMPUTED_VALUE"""),"Guam                    ")</f>
        <v>Guam                    </v>
      </c>
      <c r="C1376" s="29" t="str">
        <f>IFERROR(__xludf.DUMMYFUNCTION("""COMPUTED_VALUE"""),"GAZ:00003706")</f>
        <v>GAZ:00003706</v>
      </c>
      <c r="D1376"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376" s="29"/>
      <c r="F1376" s="29"/>
      <c r="G1376" s="29"/>
      <c r="H1376" s="54" t="s">
        <v>19</v>
      </c>
      <c r="I1376" s="54" t="s">
        <v>19</v>
      </c>
      <c r="J1376" s="54" t="s">
        <v>19</v>
      </c>
      <c r="K1376" s="52" t="str">
        <f t="shared" si="74"/>
        <v>Mpox</v>
      </c>
      <c r="M1376" s="55"/>
    </row>
    <row r="1377">
      <c r="A1377" s="29"/>
      <c r="B1377" s="50" t="str">
        <f>IFERROR(__xludf.DUMMYFUNCTION("""COMPUTED_VALUE"""),"Guatemala                    ")</f>
        <v>Guatemala                    </v>
      </c>
      <c r="C1377" s="29" t="str">
        <f>IFERROR(__xludf.DUMMYFUNCTION("""COMPUTED_VALUE"""),"GAZ:00002936")</f>
        <v>GAZ:00002936</v>
      </c>
      <c r="D1377"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377" s="29"/>
      <c r="F1377" s="29"/>
      <c r="G1377" s="29"/>
      <c r="H1377" s="54" t="s">
        <v>19</v>
      </c>
      <c r="I1377" s="54" t="s">
        <v>19</v>
      </c>
      <c r="J1377" s="54" t="s">
        <v>19</v>
      </c>
      <c r="K1377" s="52" t="str">
        <f t="shared" si="74"/>
        <v>Mpox</v>
      </c>
      <c r="M1377" s="55"/>
    </row>
    <row r="1378">
      <c r="A1378" s="29"/>
      <c r="B1378" s="50" t="str">
        <f>IFERROR(__xludf.DUMMYFUNCTION("""COMPUTED_VALUE"""),"Guernsey                    ")</f>
        <v>Guernsey                    </v>
      </c>
      <c r="C1378" s="29" t="str">
        <f>IFERROR(__xludf.DUMMYFUNCTION("""COMPUTED_VALUE"""),"GAZ:00001550")</f>
        <v>GAZ:00001550</v>
      </c>
      <c r="D1378" s="29" t="str">
        <f>IFERROR(__xludf.DUMMYFUNCTION("""COMPUTED_VALUE"""),"A British Crown Dependency in the English Channel off the coast of Normandy.")</f>
        <v>A British Crown Dependency in the English Channel off the coast of Normandy.</v>
      </c>
      <c r="E1378" s="29"/>
      <c r="F1378" s="29"/>
      <c r="G1378" s="29"/>
      <c r="H1378" s="54" t="s">
        <v>19</v>
      </c>
      <c r="I1378" s="54" t="s">
        <v>19</v>
      </c>
      <c r="J1378" s="54" t="s">
        <v>19</v>
      </c>
      <c r="K1378" s="52" t="str">
        <f t="shared" si="74"/>
        <v>Mpox</v>
      </c>
      <c r="M1378" s="55"/>
    </row>
    <row r="1379">
      <c r="A1379" s="29"/>
      <c r="B1379" s="50" t="str">
        <f>IFERROR(__xludf.DUMMYFUNCTION("""COMPUTED_VALUE"""),"Guinea                    ")</f>
        <v>Guinea                    </v>
      </c>
      <c r="C1379" s="29" t="str">
        <f>IFERROR(__xludf.DUMMYFUNCTION("""COMPUTED_VALUE"""),"GAZ:00000909")</f>
        <v>GAZ:00000909</v>
      </c>
      <c r="D1379"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379" s="29"/>
      <c r="F1379" s="29"/>
      <c r="G1379" s="29"/>
      <c r="H1379" s="54" t="s">
        <v>19</v>
      </c>
      <c r="I1379" s="54" t="s">
        <v>19</v>
      </c>
      <c r="J1379" s="54" t="s">
        <v>19</v>
      </c>
      <c r="K1379" s="52" t="str">
        <f t="shared" si="74"/>
        <v>Mpox</v>
      </c>
      <c r="M1379" s="55"/>
    </row>
    <row r="1380">
      <c r="A1380" s="29"/>
      <c r="B1380" s="50" t="str">
        <f>IFERROR(__xludf.DUMMYFUNCTION("""COMPUTED_VALUE"""),"Guinea-Bissau                    ")</f>
        <v>Guinea-Bissau                    </v>
      </c>
      <c r="C1380" s="29" t="str">
        <f>IFERROR(__xludf.DUMMYFUNCTION("""COMPUTED_VALUE"""),"GAZ:00000910")</f>
        <v>GAZ:00000910</v>
      </c>
      <c r="D1380"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380" s="29"/>
      <c r="F1380" s="29"/>
      <c r="G1380" s="29"/>
      <c r="H1380" s="54" t="s">
        <v>19</v>
      </c>
      <c r="I1380" s="54" t="s">
        <v>19</v>
      </c>
      <c r="J1380" s="54" t="s">
        <v>19</v>
      </c>
      <c r="K1380" s="52" t="str">
        <f t="shared" si="74"/>
        <v>Mpox</v>
      </c>
      <c r="M1380" s="55"/>
    </row>
    <row r="1381">
      <c r="A1381" s="29"/>
      <c r="B1381" s="50" t="str">
        <f>IFERROR(__xludf.DUMMYFUNCTION("""COMPUTED_VALUE"""),"Guyana                    ")</f>
        <v>Guyana                    </v>
      </c>
      <c r="C1381" s="29" t="str">
        <f>IFERROR(__xludf.DUMMYFUNCTION("""COMPUTED_VALUE"""),"GAZ:00002522")</f>
        <v>GAZ:00002522</v>
      </c>
      <c r="D1381"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381" s="29"/>
      <c r="F1381" s="29"/>
      <c r="G1381" s="29"/>
      <c r="H1381" s="54" t="s">
        <v>19</v>
      </c>
      <c r="I1381" s="54" t="s">
        <v>19</v>
      </c>
      <c r="J1381" s="54" t="s">
        <v>19</v>
      </c>
      <c r="K1381" s="52" t="str">
        <f t="shared" si="74"/>
        <v>Mpox</v>
      </c>
      <c r="M1381" s="55"/>
    </row>
    <row r="1382">
      <c r="A1382" s="29"/>
      <c r="B1382" s="50" t="str">
        <f>IFERROR(__xludf.DUMMYFUNCTION("""COMPUTED_VALUE"""),"Haiti                    ")</f>
        <v>Haiti                    </v>
      </c>
      <c r="C1382" s="29" t="str">
        <f>IFERROR(__xludf.DUMMYFUNCTION("""COMPUTED_VALUE"""),"GAZ:00003953")</f>
        <v>GAZ:00003953</v>
      </c>
      <c r="D1382"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382" s="29"/>
      <c r="F1382" s="29"/>
      <c r="G1382" s="29"/>
      <c r="H1382" s="54" t="s">
        <v>19</v>
      </c>
      <c r="I1382" s="54" t="s">
        <v>19</v>
      </c>
      <c r="J1382" s="54" t="s">
        <v>19</v>
      </c>
      <c r="K1382" s="52" t="str">
        <f t="shared" si="74"/>
        <v>Mpox</v>
      </c>
      <c r="M1382" s="55"/>
    </row>
    <row r="1383">
      <c r="A1383" s="29"/>
      <c r="B1383" s="50" t="str">
        <f>IFERROR(__xludf.DUMMYFUNCTION("""COMPUTED_VALUE"""),"Heard Island and McDonald Islands                    ")</f>
        <v>Heard Island and McDonald Islands                    </v>
      </c>
      <c r="C1383" s="29" t="str">
        <f>IFERROR(__xludf.DUMMYFUNCTION("""COMPUTED_VALUE"""),"GAZ:00009718")</f>
        <v>GAZ:00009718</v>
      </c>
      <c r="D1383"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383" s="29"/>
      <c r="F1383" s="29"/>
      <c r="G1383" s="29"/>
      <c r="H1383" s="54" t="s">
        <v>19</v>
      </c>
      <c r="I1383" s="54" t="s">
        <v>19</v>
      </c>
      <c r="J1383" s="54" t="s">
        <v>19</v>
      </c>
      <c r="K1383" s="52" t="str">
        <f t="shared" si="74"/>
        <v>Mpox</v>
      </c>
      <c r="M1383" s="55"/>
    </row>
    <row r="1384">
      <c r="A1384" s="29"/>
      <c r="B1384" s="50" t="str">
        <f>IFERROR(__xludf.DUMMYFUNCTION("""COMPUTED_VALUE"""),"Honduras                    ")</f>
        <v>Honduras                    </v>
      </c>
      <c r="C1384" s="29" t="str">
        <f>IFERROR(__xludf.DUMMYFUNCTION("""COMPUTED_VALUE"""),"GAZ:00002894")</f>
        <v>GAZ:00002894</v>
      </c>
      <c r="D1384"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384" s="29"/>
      <c r="F1384" s="29"/>
      <c r="G1384" s="29"/>
      <c r="H1384" s="54" t="s">
        <v>19</v>
      </c>
      <c r="I1384" s="54" t="s">
        <v>19</v>
      </c>
      <c r="J1384" s="54" t="s">
        <v>19</v>
      </c>
      <c r="K1384" s="52" t="str">
        <f t="shared" si="74"/>
        <v>Mpox</v>
      </c>
      <c r="M1384" s="55"/>
    </row>
    <row r="1385">
      <c r="A1385" s="29"/>
      <c r="B1385" s="50" t="str">
        <f>IFERROR(__xludf.DUMMYFUNCTION("""COMPUTED_VALUE"""),"Hong Kong                    ")</f>
        <v>Hong Kong                    </v>
      </c>
      <c r="C1385" s="29" t="str">
        <f>IFERROR(__xludf.DUMMYFUNCTION("""COMPUTED_VALUE"""),"GAZ:00003203")</f>
        <v>GAZ:00003203</v>
      </c>
      <c r="D1385"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385" s="29"/>
      <c r="F1385" s="29"/>
      <c r="G1385" s="29"/>
      <c r="H1385" s="54" t="s">
        <v>19</v>
      </c>
      <c r="I1385" s="54" t="s">
        <v>19</v>
      </c>
      <c r="J1385" s="54" t="s">
        <v>19</v>
      </c>
      <c r="K1385" s="52" t="str">
        <f t="shared" si="74"/>
        <v>Mpox</v>
      </c>
      <c r="M1385" s="55"/>
    </row>
    <row r="1386">
      <c r="A1386" s="29"/>
      <c r="B1386" s="50" t="str">
        <f>IFERROR(__xludf.DUMMYFUNCTION("""COMPUTED_VALUE"""),"Howland Island                    ")</f>
        <v>Howland Island                    </v>
      </c>
      <c r="C1386" s="29" t="str">
        <f>IFERROR(__xludf.DUMMYFUNCTION("""COMPUTED_VALUE"""),"GAZ:00007120")</f>
        <v>GAZ:00007120</v>
      </c>
      <c r="D1386"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386" s="29"/>
      <c r="F1386" s="29"/>
      <c r="G1386" s="29"/>
      <c r="H1386" s="54" t="s">
        <v>19</v>
      </c>
      <c r="I1386" s="54" t="s">
        <v>19</v>
      </c>
      <c r="J1386" s="54" t="s">
        <v>19</v>
      </c>
      <c r="K1386" s="52" t="str">
        <f t="shared" si="74"/>
        <v>Mpox</v>
      </c>
      <c r="M1386" s="55"/>
    </row>
    <row r="1387">
      <c r="A1387" s="29"/>
      <c r="B1387" s="50" t="str">
        <f>IFERROR(__xludf.DUMMYFUNCTION("""COMPUTED_VALUE"""),"Hungary                    ")</f>
        <v>Hungary                    </v>
      </c>
      <c r="C1387" s="29" t="str">
        <f>IFERROR(__xludf.DUMMYFUNCTION("""COMPUTED_VALUE"""),"GAZ:00002952")</f>
        <v>GAZ:00002952</v>
      </c>
      <c r="D1387"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387" s="29"/>
      <c r="F1387" s="29"/>
      <c r="G1387" s="29"/>
      <c r="H1387" s="54" t="s">
        <v>19</v>
      </c>
      <c r="I1387" s="54" t="s">
        <v>19</v>
      </c>
      <c r="J1387" s="54" t="s">
        <v>19</v>
      </c>
      <c r="K1387" s="52" t="str">
        <f t="shared" si="74"/>
        <v>Mpox</v>
      </c>
      <c r="M1387" s="55"/>
    </row>
    <row r="1388">
      <c r="A1388" s="29"/>
      <c r="B1388" s="50" t="str">
        <f>IFERROR(__xludf.DUMMYFUNCTION("""COMPUTED_VALUE"""),"Iceland                    ")</f>
        <v>Iceland                    </v>
      </c>
      <c r="C1388" s="29" t="str">
        <f>IFERROR(__xludf.DUMMYFUNCTION("""COMPUTED_VALUE"""),"GAZ:00000843")</f>
        <v>GAZ:00000843</v>
      </c>
      <c r="D1388"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388" s="29"/>
      <c r="F1388" s="29"/>
      <c r="G1388" s="29"/>
      <c r="H1388" s="54" t="s">
        <v>19</v>
      </c>
      <c r="I1388" s="54" t="s">
        <v>19</v>
      </c>
      <c r="J1388" s="54" t="s">
        <v>19</v>
      </c>
      <c r="K1388" s="52" t="str">
        <f t="shared" si="74"/>
        <v>Mpox</v>
      </c>
      <c r="M1388" s="55"/>
    </row>
    <row r="1389">
      <c r="A1389" s="29"/>
      <c r="B1389" s="50" t="str">
        <f>IFERROR(__xludf.DUMMYFUNCTION("""COMPUTED_VALUE"""),"India                    ")</f>
        <v>India                    </v>
      </c>
      <c r="C1389" s="29" t="str">
        <f>IFERROR(__xludf.DUMMYFUNCTION("""COMPUTED_VALUE"""),"GAZ:00002839")</f>
        <v>GAZ:00002839</v>
      </c>
      <c r="D1389"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389" s="29"/>
      <c r="F1389" s="29"/>
      <c r="G1389" s="29"/>
      <c r="H1389" s="54" t="s">
        <v>19</v>
      </c>
      <c r="I1389" s="54" t="s">
        <v>19</v>
      </c>
      <c r="J1389" s="54" t="s">
        <v>19</v>
      </c>
      <c r="K1389" s="52" t="str">
        <f t="shared" si="74"/>
        <v>Mpox</v>
      </c>
      <c r="M1389" s="55"/>
    </row>
    <row r="1390">
      <c r="A1390" s="29"/>
      <c r="B1390" s="50" t="str">
        <f>IFERROR(__xludf.DUMMYFUNCTION("""COMPUTED_VALUE"""),"Indonesia                    ")</f>
        <v>Indonesia                    </v>
      </c>
      <c r="C1390" s="29" t="str">
        <f>IFERROR(__xludf.DUMMYFUNCTION("""COMPUTED_VALUE"""),"GAZ:00003727")</f>
        <v>GAZ:00003727</v>
      </c>
      <c r="D1390"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390" s="29"/>
      <c r="F1390" s="29"/>
      <c r="G1390" s="29"/>
      <c r="H1390" s="54" t="s">
        <v>19</v>
      </c>
      <c r="I1390" s="54" t="s">
        <v>19</v>
      </c>
      <c r="J1390" s="54" t="s">
        <v>19</v>
      </c>
      <c r="K1390" s="52" t="str">
        <f t="shared" si="74"/>
        <v>Mpox</v>
      </c>
      <c r="M1390" s="55"/>
    </row>
    <row r="1391">
      <c r="A1391" s="29"/>
      <c r="B1391" s="50" t="str">
        <f>IFERROR(__xludf.DUMMYFUNCTION("""COMPUTED_VALUE"""),"Iran                    ")</f>
        <v>Iran                    </v>
      </c>
      <c r="C1391" s="29" t="str">
        <f>IFERROR(__xludf.DUMMYFUNCTION("""COMPUTED_VALUE"""),"GAZ:00004474")</f>
        <v>GAZ:00004474</v>
      </c>
      <c r="D1391"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391" s="29"/>
      <c r="F1391" s="29"/>
      <c r="G1391" s="29"/>
      <c r="H1391" s="54" t="s">
        <v>19</v>
      </c>
      <c r="I1391" s="54" t="s">
        <v>19</v>
      </c>
      <c r="J1391" s="54" t="s">
        <v>19</v>
      </c>
      <c r="K1391" s="52" t="str">
        <f t="shared" si="74"/>
        <v>Mpox</v>
      </c>
      <c r="M1391" s="55"/>
    </row>
    <row r="1392">
      <c r="A1392" s="29"/>
      <c r="B1392" s="50" t="str">
        <f>IFERROR(__xludf.DUMMYFUNCTION("""COMPUTED_VALUE"""),"Iraq                    ")</f>
        <v>Iraq                    </v>
      </c>
      <c r="C1392" s="29" t="str">
        <f>IFERROR(__xludf.DUMMYFUNCTION("""COMPUTED_VALUE"""),"GAZ:00004483")</f>
        <v>GAZ:00004483</v>
      </c>
      <c r="D1392"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392" s="29"/>
      <c r="F1392" s="29"/>
      <c r="G1392" s="29"/>
      <c r="H1392" s="54" t="s">
        <v>19</v>
      </c>
      <c r="I1392" s="54" t="s">
        <v>19</v>
      </c>
      <c r="J1392" s="54" t="s">
        <v>19</v>
      </c>
      <c r="K1392" s="52" t="str">
        <f t="shared" si="74"/>
        <v>Mpox</v>
      </c>
      <c r="M1392" s="55"/>
    </row>
    <row r="1393">
      <c r="A1393" s="29"/>
      <c r="B1393" s="50" t="str">
        <f>IFERROR(__xludf.DUMMYFUNCTION("""COMPUTED_VALUE"""),"Ireland                    ")</f>
        <v>Ireland                    </v>
      </c>
      <c r="C1393" s="29" t="str">
        <f>IFERROR(__xludf.DUMMYFUNCTION("""COMPUTED_VALUE"""),"GAZ:00002943")</f>
        <v>GAZ:00002943</v>
      </c>
      <c r="D1393"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393" s="29"/>
      <c r="F1393" s="29"/>
      <c r="G1393" s="29"/>
      <c r="H1393" s="54" t="s">
        <v>19</v>
      </c>
      <c r="I1393" s="54" t="s">
        <v>19</v>
      </c>
      <c r="J1393" s="54" t="s">
        <v>19</v>
      </c>
      <c r="K1393" s="52" t="str">
        <f t="shared" si="74"/>
        <v>Mpox</v>
      </c>
      <c r="M1393" s="55"/>
    </row>
    <row r="1394">
      <c r="A1394" s="29"/>
      <c r="B1394" s="50" t="str">
        <f>IFERROR(__xludf.DUMMYFUNCTION("""COMPUTED_VALUE"""),"Isle of Man                    ")</f>
        <v>Isle of Man                    </v>
      </c>
      <c r="C1394" s="29" t="str">
        <f>IFERROR(__xludf.DUMMYFUNCTION("""COMPUTED_VALUE"""),"GAZ:00052477")</f>
        <v>GAZ:00052477</v>
      </c>
      <c r="D1394"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394" s="29"/>
      <c r="F1394" s="29"/>
      <c r="G1394" s="29"/>
      <c r="H1394" s="54" t="s">
        <v>19</v>
      </c>
      <c r="I1394" s="54" t="s">
        <v>19</v>
      </c>
      <c r="J1394" s="54" t="s">
        <v>19</v>
      </c>
      <c r="K1394" s="52" t="str">
        <f t="shared" si="74"/>
        <v>Mpox</v>
      </c>
      <c r="M1394" s="55"/>
    </row>
    <row r="1395">
      <c r="A1395" s="29"/>
      <c r="B1395" s="50" t="str">
        <f>IFERROR(__xludf.DUMMYFUNCTION("""COMPUTED_VALUE"""),"Israel                    ")</f>
        <v>Israel                    </v>
      </c>
      <c r="C1395" s="29" t="str">
        <f>IFERROR(__xludf.DUMMYFUNCTION("""COMPUTED_VALUE"""),"GAZ:00002476")</f>
        <v>GAZ:00002476</v>
      </c>
      <c r="D1395"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395" s="29"/>
      <c r="F1395" s="29"/>
      <c r="G1395" s="29"/>
      <c r="H1395" s="54" t="s">
        <v>19</v>
      </c>
      <c r="I1395" s="54" t="s">
        <v>19</v>
      </c>
      <c r="J1395" s="54" t="s">
        <v>19</v>
      </c>
      <c r="K1395" s="52" t="str">
        <f t="shared" si="74"/>
        <v>Mpox</v>
      </c>
      <c r="M1395" s="55"/>
    </row>
    <row r="1396">
      <c r="A1396" s="29"/>
      <c r="B1396" s="50" t="str">
        <f>IFERROR(__xludf.DUMMYFUNCTION("""COMPUTED_VALUE"""),"Italy                    ")</f>
        <v>Italy                    </v>
      </c>
      <c r="C1396" s="29" t="str">
        <f>IFERROR(__xludf.DUMMYFUNCTION("""COMPUTED_VALUE"""),"GAZ:00002650")</f>
        <v>GAZ:00002650</v>
      </c>
      <c r="D1396"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396" s="29"/>
      <c r="F1396" s="29"/>
      <c r="G1396" s="29"/>
      <c r="H1396" s="54" t="s">
        <v>19</v>
      </c>
      <c r="I1396" s="54" t="s">
        <v>19</v>
      </c>
      <c r="J1396" s="54" t="s">
        <v>19</v>
      </c>
      <c r="K1396" s="52" t="str">
        <f t="shared" si="74"/>
        <v>Mpox</v>
      </c>
      <c r="M1396" s="55"/>
    </row>
    <row r="1397">
      <c r="A1397" s="29"/>
      <c r="B1397" s="50" t="str">
        <f>IFERROR(__xludf.DUMMYFUNCTION("""COMPUTED_VALUE"""),"Jamaica                    ")</f>
        <v>Jamaica                    </v>
      </c>
      <c r="C1397" s="29" t="str">
        <f>IFERROR(__xludf.DUMMYFUNCTION("""COMPUTED_VALUE"""),"GAZ:00003781")</f>
        <v>GAZ:00003781</v>
      </c>
      <c r="D1397"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397" s="29"/>
      <c r="F1397" s="29"/>
      <c r="G1397" s="29"/>
      <c r="H1397" s="54" t="s">
        <v>19</v>
      </c>
      <c r="I1397" s="54" t="s">
        <v>19</v>
      </c>
      <c r="J1397" s="54" t="s">
        <v>19</v>
      </c>
      <c r="K1397" s="52" t="str">
        <f t="shared" si="74"/>
        <v>Mpox</v>
      </c>
      <c r="M1397" s="55"/>
    </row>
    <row r="1398">
      <c r="A1398" s="29"/>
      <c r="B1398" s="50" t="str">
        <f>IFERROR(__xludf.DUMMYFUNCTION("""COMPUTED_VALUE"""),"Jan Mayen                    ")</f>
        <v>Jan Mayen                    </v>
      </c>
      <c r="C1398" s="29" t="str">
        <f>IFERROR(__xludf.DUMMYFUNCTION("""COMPUTED_VALUE"""),"GAZ:00005853")</f>
        <v>GAZ:00005853</v>
      </c>
      <c r="D1398"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398" s="29"/>
      <c r="F1398" s="29"/>
      <c r="G1398" s="29"/>
      <c r="H1398" s="54" t="s">
        <v>19</v>
      </c>
      <c r="I1398" s="54" t="s">
        <v>19</v>
      </c>
      <c r="J1398" s="54" t="s">
        <v>19</v>
      </c>
      <c r="K1398" s="52" t="str">
        <f t="shared" si="74"/>
        <v>Mpox</v>
      </c>
      <c r="M1398" s="55"/>
    </row>
    <row r="1399">
      <c r="A1399" s="29"/>
      <c r="B1399" s="50" t="str">
        <f>IFERROR(__xludf.DUMMYFUNCTION("""COMPUTED_VALUE"""),"Japan                    ")</f>
        <v>Japan                    </v>
      </c>
      <c r="C1399" s="29" t="str">
        <f>IFERROR(__xludf.DUMMYFUNCTION("""COMPUTED_VALUE"""),"GAZ:00002747")</f>
        <v>GAZ:00002747</v>
      </c>
      <c r="D1399"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399" s="29"/>
      <c r="F1399" s="29"/>
      <c r="G1399" s="29"/>
      <c r="H1399" s="54" t="s">
        <v>19</v>
      </c>
      <c r="I1399" s="54" t="s">
        <v>19</v>
      </c>
      <c r="J1399" s="54" t="s">
        <v>19</v>
      </c>
      <c r="K1399" s="52" t="str">
        <f t="shared" si="74"/>
        <v>Mpox</v>
      </c>
      <c r="M1399" s="55"/>
    </row>
    <row r="1400">
      <c r="A1400" s="29"/>
      <c r="B1400" s="50" t="str">
        <f>IFERROR(__xludf.DUMMYFUNCTION("""COMPUTED_VALUE"""),"Jarvis Island                    ")</f>
        <v>Jarvis Island                    </v>
      </c>
      <c r="C1400" s="29" t="str">
        <f>IFERROR(__xludf.DUMMYFUNCTION("""COMPUTED_VALUE"""),"GAZ:00007118")</f>
        <v>GAZ:00007118</v>
      </c>
      <c r="D1400"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400" s="29"/>
      <c r="F1400" s="29"/>
      <c r="G1400" s="29"/>
      <c r="H1400" s="54" t="s">
        <v>19</v>
      </c>
      <c r="I1400" s="54" t="s">
        <v>19</v>
      </c>
      <c r="J1400" s="54" t="s">
        <v>19</v>
      </c>
      <c r="K1400" s="52" t="str">
        <f t="shared" si="74"/>
        <v>Mpox</v>
      </c>
      <c r="M1400" s="55"/>
    </row>
    <row r="1401">
      <c r="A1401" s="29"/>
      <c r="B1401" s="50" t="str">
        <f>IFERROR(__xludf.DUMMYFUNCTION("""COMPUTED_VALUE"""),"Jersey                    ")</f>
        <v>Jersey                    </v>
      </c>
      <c r="C1401" s="29" t="str">
        <f>IFERROR(__xludf.DUMMYFUNCTION("""COMPUTED_VALUE"""),"GAZ:00001551")</f>
        <v>GAZ:00001551</v>
      </c>
      <c r="D1401"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401" s="29"/>
      <c r="F1401" s="29"/>
      <c r="G1401" s="29"/>
      <c r="H1401" s="54" t="s">
        <v>19</v>
      </c>
      <c r="I1401" s="54" t="s">
        <v>19</v>
      </c>
      <c r="J1401" s="54" t="s">
        <v>19</v>
      </c>
      <c r="K1401" s="52" t="str">
        <f t="shared" si="74"/>
        <v>Mpox</v>
      </c>
      <c r="M1401" s="55"/>
    </row>
    <row r="1402">
      <c r="A1402" s="29"/>
      <c r="B1402" s="50" t="str">
        <f>IFERROR(__xludf.DUMMYFUNCTION("""COMPUTED_VALUE"""),"Johnston Atoll                    ")</f>
        <v>Johnston Atoll                    </v>
      </c>
      <c r="C1402" s="29" t="str">
        <f>IFERROR(__xludf.DUMMYFUNCTION("""COMPUTED_VALUE"""),"GAZ:00007114")</f>
        <v>GAZ:00007114</v>
      </c>
      <c r="D1402"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02" s="29"/>
      <c r="F1402" s="29"/>
      <c r="G1402" s="29"/>
      <c r="H1402" s="54" t="s">
        <v>19</v>
      </c>
      <c r="I1402" s="54" t="s">
        <v>19</v>
      </c>
      <c r="J1402" s="54" t="s">
        <v>19</v>
      </c>
      <c r="K1402" s="52" t="str">
        <f t="shared" si="74"/>
        <v>Mpox</v>
      </c>
      <c r="M1402" s="55"/>
    </row>
    <row r="1403">
      <c r="A1403" s="29"/>
      <c r="B1403" s="50" t="str">
        <f>IFERROR(__xludf.DUMMYFUNCTION("""COMPUTED_VALUE"""),"Jordan                    ")</f>
        <v>Jordan                    </v>
      </c>
      <c r="C1403" s="29" t="str">
        <f>IFERROR(__xludf.DUMMYFUNCTION("""COMPUTED_VALUE"""),"GAZ:00002473")</f>
        <v>GAZ:00002473</v>
      </c>
      <c r="D1403"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03" s="29"/>
      <c r="F1403" s="29"/>
      <c r="G1403" s="29"/>
      <c r="H1403" s="54" t="s">
        <v>19</v>
      </c>
      <c r="I1403" s="54" t="s">
        <v>19</v>
      </c>
      <c r="J1403" s="54" t="s">
        <v>19</v>
      </c>
      <c r="K1403" s="52" t="str">
        <f t="shared" si="74"/>
        <v>Mpox</v>
      </c>
      <c r="M1403" s="55"/>
    </row>
    <row r="1404">
      <c r="A1404" s="29"/>
      <c r="B1404" s="50" t="str">
        <f>IFERROR(__xludf.DUMMYFUNCTION("""COMPUTED_VALUE"""),"Juan de Nova Island                    ")</f>
        <v>Juan de Nova Island                    </v>
      </c>
      <c r="C1404" s="29" t="str">
        <f>IFERROR(__xludf.DUMMYFUNCTION("""COMPUTED_VALUE"""),"GAZ:00005809")</f>
        <v>GAZ:00005809</v>
      </c>
      <c r="D1404"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04" s="29"/>
      <c r="F1404" s="29"/>
      <c r="G1404" s="29"/>
      <c r="H1404" s="54" t="s">
        <v>19</v>
      </c>
      <c r="I1404" s="54" t="s">
        <v>19</v>
      </c>
      <c r="J1404" s="54" t="s">
        <v>19</v>
      </c>
      <c r="K1404" s="52" t="str">
        <f t="shared" si="74"/>
        <v>Mpox</v>
      </c>
      <c r="M1404" s="55"/>
    </row>
    <row r="1405">
      <c r="A1405" s="29"/>
      <c r="B1405" s="50" t="str">
        <f>IFERROR(__xludf.DUMMYFUNCTION("""COMPUTED_VALUE"""),"Kazakhstan                    ")</f>
        <v>Kazakhstan                    </v>
      </c>
      <c r="C1405" s="29" t="str">
        <f>IFERROR(__xludf.DUMMYFUNCTION("""COMPUTED_VALUE"""),"GAZ:00004999")</f>
        <v>GAZ:00004999</v>
      </c>
      <c r="D1405"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05" s="29"/>
      <c r="F1405" s="29"/>
      <c r="G1405" s="29"/>
      <c r="H1405" s="54" t="s">
        <v>19</v>
      </c>
      <c r="I1405" s="54" t="s">
        <v>19</v>
      </c>
      <c r="J1405" s="54" t="s">
        <v>19</v>
      </c>
      <c r="K1405" s="52" t="str">
        <f t="shared" si="74"/>
        <v>Mpox</v>
      </c>
      <c r="M1405" s="55"/>
    </row>
    <row r="1406">
      <c r="A1406" s="29"/>
      <c r="B1406" s="50" t="str">
        <f>IFERROR(__xludf.DUMMYFUNCTION("""COMPUTED_VALUE"""),"Kenya                    ")</f>
        <v>Kenya                    </v>
      </c>
      <c r="C1406" s="29" t="str">
        <f>IFERROR(__xludf.DUMMYFUNCTION("""COMPUTED_VALUE"""),"GAZ:00001101")</f>
        <v>GAZ:00001101</v>
      </c>
      <c r="D1406"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06" s="29"/>
      <c r="F1406" s="29"/>
      <c r="G1406" s="29"/>
      <c r="H1406" s="54" t="s">
        <v>19</v>
      </c>
      <c r="I1406" s="54" t="s">
        <v>19</v>
      </c>
      <c r="J1406" s="54" t="s">
        <v>19</v>
      </c>
      <c r="K1406" s="52" t="str">
        <f t="shared" si="74"/>
        <v>Mpox</v>
      </c>
      <c r="M1406" s="55"/>
    </row>
    <row r="1407">
      <c r="A1407" s="29"/>
      <c r="B1407" s="50" t="str">
        <f>IFERROR(__xludf.DUMMYFUNCTION("""COMPUTED_VALUE"""),"Kerguelen Archipelago                    ")</f>
        <v>Kerguelen Archipelago                    </v>
      </c>
      <c r="C1407" s="29" t="str">
        <f>IFERROR(__xludf.DUMMYFUNCTION("""COMPUTED_VALUE"""),"GAZ:00005682")</f>
        <v>GAZ:00005682</v>
      </c>
      <c r="D1407"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07" s="29"/>
      <c r="F1407" s="29"/>
      <c r="G1407" s="29"/>
      <c r="H1407" s="54" t="s">
        <v>19</v>
      </c>
      <c r="I1407" s="54" t="s">
        <v>19</v>
      </c>
      <c r="J1407" s="54" t="s">
        <v>19</v>
      </c>
      <c r="K1407" s="52" t="str">
        <f t="shared" si="74"/>
        <v>Mpox</v>
      </c>
      <c r="M1407" s="55"/>
    </row>
    <row r="1408">
      <c r="A1408" s="29"/>
      <c r="B1408" s="50" t="str">
        <f>IFERROR(__xludf.DUMMYFUNCTION("""COMPUTED_VALUE"""),"Kingman Reef                    ")</f>
        <v>Kingman Reef                    </v>
      </c>
      <c r="C1408" s="29" t="str">
        <f>IFERROR(__xludf.DUMMYFUNCTION("""COMPUTED_VALUE"""),"GAZ:00007116")</f>
        <v>GAZ:00007116</v>
      </c>
      <c r="D1408"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08" s="29"/>
      <c r="F1408" s="29"/>
      <c r="G1408" s="29"/>
      <c r="H1408" s="54" t="s">
        <v>19</v>
      </c>
      <c r="I1408" s="54" t="s">
        <v>19</v>
      </c>
      <c r="J1408" s="54" t="s">
        <v>19</v>
      </c>
      <c r="K1408" s="52" t="str">
        <f t="shared" si="74"/>
        <v>Mpox</v>
      </c>
      <c r="M1408" s="55"/>
    </row>
    <row r="1409">
      <c r="A1409" s="29"/>
      <c r="B1409" s="50" t="str">
        <f>IFERROR(__xludf.DUMMYFUNCTION("""COMPUTED_VALUE"""),"Kiribati                    ")</f>
        <v>Kiribati                    </v>
      </c>
      <c r="C1409" s="29" t="str">
        <f>IFERROR(__xludf.DUMMYFUNCTION("""COMPUTED_VALUE"""),"GAZ:00006894")</f>
        <v>GAZ:00006894</v>
      </c>
      <c r="D1409"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09" s="29"/>
      <c r="F1409" s="29"/>
      <c r="G1409" s="29"/>
      <c r="H1409" s="54" t="s">
        <v>19</v>
      </c>
      <c r="I1409" s="54" t="s">
        <v>19</v>
      </c>
      <c r="J1409" s="54" t="s">
        <v>19</v>
      </c>
      <c r="K1409" s="52" t="str">
        <f t="shared" si="74"/>
        <v>Mpox</v>
      </c>
      <c r="M1409" s="55"/>
    </row>
    <row r="1410">
      <c r="A1410" s="29"/>
      <c r="B1410" s="50" t="str">
        <f>IFERROR(__xludf.DUMMYFUNCTION("""COMPUTED_VALUE"""),"Kosovo                    ")</f>
        <v>Kosovo                    </v>
      </c>
      <c r="C1410" s="29" t="str">
        <f>IFERROR(__xludf.DUMMYFUNCTION("""COMPUTED_VALUE"""),"GAZ:00011337")</f>
        <v>GAZ:00011337</v>
      </c>
      <c r="D1410"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10" s="29"/>
      <c r="F1410" s="29"/>
      <c r="G1410" s="29"/>
      <c r="H1410" s="54" t="s">
        <v>19</v>
      </c>
      <c r="I1410" s="54" t="s">
        <v>19</v>
      </c>
      <c r="J1410" s="54" t="s">
        <v>19</v>
      </c>
      <c r="K1410" s="52" t="str">
        <f t="shared" si="74"/>
        <v>Mpox</v>
      </c>
      <c r="M1410" s="55"/>
    </row>
    <row r="1411">
      <c r="A1411" s="29"/>
      <c r="B1411" s="50" t="str">
        <f>IFERROR(__xludf.DUMMYFUNCTION("""COMPUTED_VALUE"""),"Kuwait                    ")</f>
        <v>Kuwait                    </v>
      </c>
      <c r="C1411" s="29" t="str">
        <f>IFERROR(__xludf.DUMMYFUNCTION("""COMPUTED_VALUE"""),"GAZ:00005285")</f>
        <v>GAZ:00005285</v>
      </c>
      <c r="D1411"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11" s="29"/>
      <c r="F1411" s="29"/>
      <c r="G1411" s="29"/>
      <c r="H1411" s="54" t="s">
        <v>19</v>
      </c>
      <c r="I1411" s="54" t="s">
        <v>19</v>
      </c>
      <c r="J1411" s="54" t="s">
        <v>19</v>
      </c>
      <c r="K1411" s="52" t="str">
        <f t="shared" si="74"/>
        <v>Mpox</v>
      </c>
      <c r="M1411" s="55"/>
    </row>
    <row r="1412">
      <c r="A1412" s="29"/>
      <c r="B1412" s="50" t="str">
        <f>IFERROR(__xludf.DUMMYFUNCTION("""COMPUTED_VALUE"""),"Kyrgyzstan                    ")</f>
        <v>Kyrgyzstan                    </v>
      </c>
      <c r="C1412" s="29" t="str">
        <f>IFERROR(__xludf.DUMMYFUNCTION("""COMPUTED_VALUE"""),"GAZ:00006893")</f>
        <v>GAZ:00006893</v>
      </c>
      <c r="D1412"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12" s="29"/>
      <c r="F1412" s="29"/>
      <c r="G1412" s="29"/>
      <c r="H1412" s="54" t="s">
        <v>19</v>
      </c>
      <c r="I1412" s="54" t="s">
        <v>19</v>
      </c>
      <c r="J1412" s="54" t="s">
        <v>19</v>
      </c>
      <c r="K1412" s="52" t="str">
        <f t="shared" si="74"/>
        <v>Mpox</v>
      </c>
      <c r="M1412" s="55"/>
    </row>
    <row r="1413">
      <c r="A1413" s="29"/>
      <c r="B1413" s="50" t="str">
        <f>IFERROR(__xludf.DUMMYFUNCTION("""COMPUTED_VALUE"""),"Laos                    ")</f>
        <v>Laos                    </v>
      </c>
      <c r="C1413" s="29" t="str">
        <f>IFERROR(__xludf.DUMMYFUNCTION("""COMPUTED_VALUE"""),"GAZ:00006889")</f>
        <v>GAZ:00006889</v>
      </c>
      <c r="D1413"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13" s="29"/>
      <c r="F1413" s="29"/>
      <c r="G1413" s="29"/>
      <c r="H1413" s="54" t="s">
        <v>19</v>
      </c>
      <c r="I1413" s="54" t="s">
        <v>19</v>
      </c>
      <c r="J1413" s="54" t="s">
        <v>19</v>
      </c>
      <c r="K1413" s="52" t="str">
        <f t="shared" si="74"/>
        <v>Mpox</v>
      </c>
      <c r="M1413" s="55"/>
    </row>
    <row r="1414">
      <c r="A1414" s="29"/>
      <c r="B1414" s="50" t="str">
        <f>IFERROR(__xludf.DUMMYFUNCTION("""COMPUTED_VALUE"""),"Latvia                    ")</f>
        <v>Latvia                    </v>
      </c>
      <c r="C1414" s="29" t="str">
        <f>IFERROR(__xludf.DUMMYFUNCTION("""COMPUTED_VALUE"""),"GAZ:00002958")</f>
        <v>GAZ:00002958</v>
      </c>
      <c r="D1414"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14" s="29"/>
      <c r="F1414" s="29"/>
      <c r="G1414" s="29"/>
      <c r="H1414" s="54" t="s">
        <v>19</v>
      </c>
      <c r="I1414" s="54" t="s">
        <v>19</v>
      </c>
      <c r="J1414" s="54" t="s">
        <v>19</v>
      </c>
      <c r="K1414" s="52" t="str">
        <f t="shared" si="74"/>
        <v>Mpox</v>
      </c>
      <c r="M1414" s="55"/>
    </row>
    <row r="1415">
      <c r="A1415" s="29"/>
      <c r="B1415" s="50" t="str">
        <f>IFERROR(__xludf.DUMMYFUNCTION("""COMPUTED_VALUE"""),"Lebanon                    ")</f>
        <v>Lebanon                    </v>
      </c>
      <c r="C1415" s="29" t="str">
        <f>IFERROR(__xludf.DUMMYFUNCTION("""COMPUTED_VALUE"""),"GAZ:00002478")</f>
        <v>GAZ:00002478</v>
      </c>
      <c r="D1415"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15" s="29"/>
      <c r="F1415" s="29"/>
      <c r="G1415" s="29"/>
      <c r="H1415" s="54" t="s">
        <v>19</v>
      </c>
      <c r="I1415" s="54" t="s">
        <v>19</v>
      </c>
      <c r="J1415" s="54" t="s">
        <v>19</v>
      </c>
      <c r="K1415" s="52" t="str">
        <f t="shared" si="74"/>
        <v>Mpox</v>
      </c>
      <c r="M1415" s="55"/>
    </row>
    <row r="1416">
      <c r="A1416" s="29"/>
      <c r="B1416" s="50" t="str">
        <f>IFERROR(__xludf.DUMMYFUNCTION("""COMPUTED_VALUE"""),"Lesotho                    ")</f>
        <v>Lesotho                    </v>
      </c>
      <c r="C1416" s="29" t="str">
        <f>IFERROR(__xludf.DUMMYFUNCTION("""COMPUTED_VALUE"""),"GAZ:00001098")</f>
        <v>GAZ:00001098</v>
      </c>
      <c r="D1416"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16" s="29"/>
      <c r="F1416" s="29"/>
      <c r="G1416" s="29"/>
      <c r="H1416" s="54" t="s">
        <v>19</v>
      </c>
      <c r="I1416" s="54" t="s">
        <v>19</v>
      </c>
      <c r="J1416" s="54" t="s">
        <v>19</v>
      </c>
      <c r="K1416" s="52" t="str">
        <f t="shared" si="74"/>
        <v>Mpox</v>
      </c>
      <c r="M1416" s="55"/>
    </row>
    <row r="1417">
      <c r="A1417" s="29"/>
      <c r="B1417" s="50" t="str">
        <f>IFERROR(__xludf.DUMMYFUNCTION("""COMPUTED_VALUE"""),"Liberia                    ")</f>
        <v>Liberia                    </v>
      </c>
      <c r="C1417" s="29" t="str">
        <f>IFERROR(__xludf.DUMMYFUNCTION("""COMPUTED_VALUE"""),"GAZ:00000911")</f>
        <v>GAZ:00000911</v>
      </c>
      <c r="D1417" s="29" t="str">
        <f>IFERROR(__xludf.DUMMYFUNCTION("""COMPUTED_VALUE"""),"A country on the west coast of Africa, bordered by Sierra Leone, Guinea, Cote d'Ivoire, and the Atlantic Ocean.")</f>
        <v>A country on the west coast of Africa, bordered by Sierra Leone, Guinea, Cote d'Ivoire, and the Atlantic Ocean.</v>
      </c>
      <c r="E1417" s="29"/>
      <c r="F1417" s="29"/>
      <c r="G1417" s="29"/>
      <c r="H1417" s="54" t="s">
        <v>19</v>
      </c>
      <c r="I1417" s="54" t="s">
        <v>19</v>
      </c>
      <c r="J1417" s="54" t="s">
        <v>19</v>
      </c>
      <c r="K1417" s="52" t="str">
        <f t="shared" si="74"/>
        <v>Mpox</v>
      </c>
      <c r="M1417" s="55"/>
    </row>
    <row r="1418">
      <c r="A1418" s="29"/>
      <c r="B1418" s="50" t="str">
        <f>IFERROR(__xludf.DUMMYFUNCTION("""COMPUTED_VALUE"""),"Libya                    ")</f>
        <v>Libya                    </v>
      </c>
      <c r="C1418" s="29" t="str">
        <f>IFERROR(__xludf.DUMMYFUNCTION("""COMPUTED_VALUE"""),"GAZ:00000566")</f>
        <v>GAZ:00000566</v>
      </c>
      <c r="D1418"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18" s="29"/>
      <c r="F1418" s="29"/>
      <c r="G1418" s="29"/>
      <c r="H1418" s="54" t="s">
        <v>19</v>
      </c>
      <c r="I1418" s="54" t="s">
        <v>19</v>
      </c>
      <c r="J1418" s="54" t="s">
        <v>19</v>
      </c>
      <c r="K1418" s="52" t="str">
        <f t="shared" si="74"/>
        <v>Mpox</v>
      </c>
      <c r="M1418" s="55"/>
    </row>
    <row r="1419">
      <c r="A1419" s="29"/>
      <c r="B1419" s="50" t="str">
        <f>IFERROR(__xludf.DUMMYFUNCTION("""COMPUTED_VALUE"""),"Liechtenstein                    ")</f>
        <v>Liechtenstein                    </v>
      </c>
      <c r="C1419" s="29" t="str">
        <f>IFERROR(__xludf.DUMMYFUNCTION("""COMPUTED_VALUE"""),"GAZ:00003858")</f>
        <v>GAZ:00003858</v>
      </c>
      <c r="D1419"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419" s="29"/>
      <c r="F1419" s="29"/>
      <c r="G1419" s="29"/>
      <c r="H1419" s="54" t="s">
        <v>19</v>
      </c>
      <c r="I1419" s="54" t="s">
        <v>19</v>
      </c>
      <c r="J1419" s="54" t="s">
        <v>19</v>
      </c>
      <c r="K1419" s="52" t="str">
        <f t="shared" si="74"/>
        <v>Mpox</v>
      </c>
      <c r="M1419" s="55"/>
    </row>
    <row r="1420">
      <c r="A1420" s="29"/>
      <c r="B1420" s="50" t="str">
        <f>IFERROR(__xludf.DUMMYFUNCTION("""COMPUTED_VALUE"""),"Line Islands                    ")</f>
        <v>Line Islands                    </v>
      </c>
      <c r="C1420" s="29" t="str">
        <f>IFERROR(__xludf.DUMMYFUNCTION("""COMPUTED_VALUE"""),"GAZ:00007144")</f>
        <v>GAZ:00007144</v>
      </c>
      <c r="D1420"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420" s="29"/>
      <c r="F1420" s="29"/>
      <c r="G1420" s="29"/>
      <c r="H1420" s="54" t="s">
        <v>19</v>
      </c>
      <c r="I1420" s="54" t="s">
        <v>19</v>
      </c>
      <c r="J1420" s="54" t="s">
        <v>19</v>
      </c>
      <c r="K1420" s="52" t="str">
        <f t="shared" si="74"/>
        <v>Mpox</v>
      </c>
      <c r="M1420" s="55"/>
    </row>
    <row r="1421">
      <c r="A1421" s="29"/>
      <c r="B1421" s="50" t="str">
        <f>IFERROR(__xludf.DUMMYFUNCTION("""COMPUTED_VALUE"""),"Lithuania                    ")</f>
        <v>Lithuania                    </v>
      </c>
      <c r="C1421" s="29" t="str">
        <f>IFERROR(__xludf.DUMMYFUNCTION("""COMPUTED_VALUE"""),"GAZ:00002960")</f>
        <v>GAZ:00002960</v>
      </c>
      <c r="D1421"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421" s="29"/>
      <c r="F1421" s="29"/>
      <c r="G1421" s="29"/>
      <c r="H1421" s="54" t="s">
        <v>19</v>
      </c>
      <c r="I1421" s="54" t="s">
        <v>19</v>
      </c>
      <c r="J1421" s="54" t="s">
        <v>19</v>
      </c>
      <c r="K1421" s="52" t="str">
        <f t="shared" si="74"/>
        <v>Mpox</v>
      </c>
      <c r="M1421" s="55"/>
    </row>
    <row r="1422">
      <c r="A1422" s="29"/>
      <c r="B1422" s="50" t="str">
        <f>IFERROR(__xludf.DUMMYFUNCTION("""COMPUTED_VALUE"""),"Luxembourg                    ")</f>
        <v>Luxembourg                    </v>
      </c>
      <c r="C1422" s="29" t="str">
        <f>IFERROR(__xludf.DUMMYFUNCTION("""COMPUTED_VALUE"""),"GAZ:00002947")</f>
        <v>GAZ:00002947</v>
      </c>
      <c r="D1422"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422" s="29"/>
      <c r="F1422" s="29"/>
      <c r="G1422" s="29"/>
      <c r="H1422" s="54" t="s">
        <v>19</v>
      </c>
      <c r="I1422" s="54" t="s">
        <v>19</v>
      </c>
      <c r="J1422" s="54" t="s">
        <v>19</v>
      </c>
      <c r="K1422" s="52" t="str">
        <f t="shared" si="74"/>
        <v>Mpox</v>
      </c>
      <c r="M1422" s="55"/>
    </row>
    <row r="1423">
      <c r="A1423" s="29"/>
      <c r="B1423" s="50" t="str">
        <f>IFERROR(__xludf.DUMMYFUNCTION("""COMPUTED_VALUE"""),"Macau                    ")</f>
        <v>Macau                    </v>
      </c>
      <c r="C1423" s="29" t="str">
        <f>IFERROR(__xludf.DUMMYFUNCTION("""COMPUTED_VALUE"""),"GAZ:00003202")</f>
        <v>GAZ:00003202</v>
      </c>
      <c r="D1423"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423" s="29"/>
      <c r="F1423" s="29"/>
      <c r="G1423" s="29"/>
      <c r="H1423" s="54" t="s">
        <v>19</v>
      </c>
      <c r="I1423" s="54" t="s">
        <v>19</v>
      </c>
      <c r="J1423" s="54" t="s">
        <v>19</v>
      </c>
      <c r="K1423" s="52" t="str">
        <f t="shared" si="74"/>
        <v>Mpox</v>
      </c>
      <c r="M1423" s="55"/>
    </row>
    <row r="1424">
      <c r="A1424" s="29"/>
      <c r="B1424" s="50" t="str">
        <f>IFERROR(__xludf.DUMMYFUNCTION("""COMPUTED_VALUE"""),"Madagascar                    ")</f>
        <v>Madagascar                    </v>
      </c>
      <c r="C1424" s="29" t="str">
        <f>IFERROR(__xludf.DUMMYFUNCTION("""COMPUTED_VALUE"""),"GAZ:00001108")</f>
        <v>GAZ:00001108</v>
      </c>
      <c r="D1424"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424" s="29"/>
      <c r="F1424" s="29"/>
      <c r="G1424" s="29"/>
      <c r="H1424" s="54" t="s">
        <v>19</v>
      </c>
      <c r="I1424" s="54" t="s">
        <v>19</v>
      </c>
      <c r="J1424" s="54" t="s">
        <v>19</v>
      </c>
      <c r="K1424" s="52" t="str">
        <f t="shared" si="74"/>
        <v>Mpox</v>
      </c>
      <c r="M1424" s="55"/>
    </row>
    <row r="1425">
      <c r="A1425" s="29"/>
      <c r="B1425" s="50" t="str">
        <f>IFERROR(__xludf.DUMMYFUNCTION("""COMPUTED_VALUE"""),"Malawi                    ")</f>
        <v>Malawi                    </v>
      </c>
      <c r="C1425" s="29" t="str">
        <f>IFERROR(__xludf.DUMMYFUNCTION("""COMPUTED_VALUE"""),"GAZ:00001105")</f>
        <v>GAZ:00001105</v>
      </c>
      <c r="D1425"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5" s="29"/>
      <c r="F1425" s="29"/>
      <c r="G1425" s="29"/>
      <c r="H1425" s="54" t="s">
        <v>19</v>
      </c>
      <c r="I1425" s="54" t="s">
        <v>19</v>
      </c>
      <c r="J1425" s="54" t="s">
        <v>19</v>
      </c>
      <c r="K1425" s="52" t="str">
        <f t="shared" si="74"/>
        <v>Mpox</v>
      </c>
      <c r="M1425" s="55"/>
    </row>
    <row r="1426">
      <c r="A1426" s="29"/>
      <c r="B1426" s="50" t="str">
        <f>IFERROR(__xludf.DUMMYFUNCTION("""COMPUTED_VALUE"""),"Malaysia                    ")</f>
        <v>Malaysia                    </v>
      </c>
      <c r="C1426" s="29" t="str">
        <f>IFERROR(__xludf.DUMMYFUNCTION("""COMPUTED_VALUE"""),"GAZ:00003902")</f>
        <v>GAZ:00003902</v>
      </c>
      <c r="D1426"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26" s="29"/>
      <c r="F1426" s="29"/>
      <c r="G1426" s="29"/>
      <c r="H1426" s="54" t="s">
        <v>19</v>
      </c>
      <c r="I1426" s="54" t="s">
        <v>19</v>
      </c>
      <c r="J1426" s="54" t="s">
        <v>19</v>
      </c>
      <c r="K1426" s="52" t="str">
        <f t="shared" si="74"/>
        <v>Mpox</v>
      </c>
      <c r="M1426" s="55"/>
    </row>
    <row r="1427">
      <c r="A1427" s="29"/>
      <c r="B1427" s="50" t="str">
        <f>IFERROR(__xludf.DUMMYFUNCTION("""COMPUTED_VALUE"""),"Maldives                    ")</f>
        <v>Maldives                    </v>
      </c>
      <c r="C1427" s="29" t="str">
        <f>IFERROR(__xludf.DUMMYFUNCTION("""COMPUTED_VALUE"""),"GAZ:00006924")</f>
        <v>GAZ:00006924</v>
      </c>
      <c r="D1427"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427" s="29"/>
      <c r="F1427" s="29"/>
      <c r="G1427" s="29"/>
      <c r="H1427" s="54" t="s">
        <v>19</v>
      </c>
      <c r="I1427" s="54" t="s">
        <v>19</v>
      </c>
      <c r="J1427" s="54" t="s">
        <v>19</v>
      </c>
      <c r="K1427" s="52" t="str">
        <f t="shared" si="74"/>
        <v>Mpox</v>
      </c>
      <c r="M1427" s="55"/>
    </row>
    <row r="1428">
      <c r="A1428" s="29"/>
      <c r="B1428" s="50" t="str">
        <f>IFERROR(__xludf.DUMMYFUNCTION("""COMPUTED_VALUE"""),"Mali                    ")</f>
        <v>Mali                    </v>
      </c>
      <c r="C1428" s="29" t="str">
        <f>IFERROR(__xludf.DUMMYFUNCTION("""COMPUTED_VALUE"""),"GAZ:00000584")</f>
        <v>GAZ:00000584</v>
      </c>
      <c r="D1428"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428" s="29"/>
      <c r="F1428" s="29"/>
      <c r="G1428" s="29"/>
      <c r="H1428" s="54" t="s">
        <v>19</v>
      </c>
      <c r="I1428" s="54" t="s">
        <v>19</v>
      </c>
      <c r="J1428" s="54" t="s">
        <v>19</v>
      </c>
      <c r="K1428" s="52" t="str">
        <f t="shared" si="74"/>
        <v>Mpox</v>
      </c>
      <c r="M1428" s="55"/>
    </row>
    <row r="1429">
      <c r="A1429" s="29"/>
      <c r="B1429" s="50" t="str">
        <f>IFERROR(__xludf.DUMMYFUNCTION("""COMPUTED_VALUE"""),"Malta                    ")</f>
        <v>Malta                    </v>
      </c>
      <c r="C1429" s="29" t="str">
        <f>IFERROR(__xludf.DUMMYFUNCTION("""COMPUTED_VALUE"""),"GAZ:00004017")</f>
        <v>GAZ:00004017</v>
      </c>
      <c r="D1429" s="29" t="str">
        <f>IFERROR(__xludf.DUMMYFUNCTION("""COMPUTED_VALUE"""),"A Southern European country and consists of an archipelago situated centrally in the Mediterranean.")</f>
        <v>A Southern European country and consists of an archipelago situated centrally in the Mediterranean.</v>
      </c>
      <c r="E1429" s="29"/>
      <c r="F1429" s="29"/>
      <c r="G1429" s="29"/>
      <c r="H1429" s="54" t="s">
        <v>19</v>
      </c>
      <c r="I1429" s="54" t="s">
        <v>19</v>
      </c>
      <c r="J1429" s="54" t="s">
        <v>19</v>
      </c>
      <c r="K1429" s="52" t="str">
        <f t="shared" si="74"/>
        <v>Mpox</v>
      </c>
      <c r="M1429" s="55"/>
    </row>
    <row r="1430">
      <c r="A1430" s="29"/>
      <c r="B1430" s="50" t="str">
        <f>IFERROR(__xludf.DUMMYFUNCTION("""COMPUTED_VALUE"""),"Marshall Islands                    ")</f>
        <v>Marshall Islands                    </v>
      </c>
      <c r="C1430" s="29" t="str">
        <f>IFERROR(__xludf.DUMMYFUNCTION("""COMPUTED_VALUE"""),"GAZ:00007161")</f>
        <v>GAZ:00007161</v>
      </c>
      <c r="D1430"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430" s="29"/>
      <c r="F1430" s="29"/>
      <c r="G1430" s="29"/>
      <c r="H1430" s="54" t="s">
        <v>19</v>
      </c>
      <c r="I1430" s="54" t="s">
        <v>19</v>
      </c>
      <c r="J1430" s="54" t="s">
        <v>19</v>
      </c>
      <c r="K1430" s="52" t="str">
        <f t="shared" si="74"/>
        <v>Mpox</v>
      </c>
      <c r="M1430" s="55"/>
    </row>
    <row r="1431">
      <c r="A1431" s="29"/>
      <c r="B1431" s="50" t="str">
        <f>IFERROR(__xludf.DUMMYFUNCTION("""COMPUTED_VALUE"""),"Martinique                    ")</f>
        <v>Martinique                    </v>
      </c>
      <c r="C1431" s="29" t="str">
        <f>IFERROR(__xludf.DUMMYFUNCTION("""COMPUTED_VALUE"""),"GAZ:00067143")</f>
        <v>GAZ:00067143</v>
      </c>
      <c r="D1431" s="29" t="str">
        <f>IFERROR(__xludf.DUMMYFUNCTION("""COMPUTED_VALUE"""),"An island and an overseas department/region and single territorial collectivity of France.")</f>
        <v>An island and an overseas department/region and single territorial collectivity of France.</v>
      </c>
      <c r="E1431" s="29"/>
      <c r="F1431" s="29"/>
      <c r="G1431" s="29"/>
      <c r="H1431" s="54" t="s">
        <v>19</v>
      </c>
      <c r="I1431" s="54" t="s">
        <v>19</v>
      </c>
      <c r="J1431" s="54" t="s">
        <v>19</v>
      </c>
      <c r="K1431" s="52" t="str">
        <f t="shared" si="74"/>
        <v>Mpox</v>
      </c>
      <c r="M1431" s="55"/>
    </row>
    <row r="1432">
      <c r="A1432" s="29"/>
      <c r="B1432" s="50" t="str">
        <f>IFERROR(__xludf.DUMMYFUNCTION("""COMPUTED_VALUE"""),"Mauritania                    ")</f>
        <v>Mauritania                    </v>
      </c>
      <c r="C1432" s="29" t="str">
        <f>IFERROR(__xludf.DUMMYFUNCTION("""COMPUTED_VALUE"""),"GAZ:00000583")</f>
        <v>GAZ:00000583</v>
      </c>
      <c r="D1432"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432" s="29"/>
      <c r="F1432" s="29"/>
      <c r="G1432" s="29"/>
      <c r="H1432" s="54" t="s">
        <v>19</v>
      </c>
      <c r="I1432" s="54" t="s">
        <v>19</v>
      </c>
      <c r="J1432" s="54" t="s">
        <v>19</v>
      </c>
      <c r="K1432" s="52" t="str">
        <f t="shared" si="74"/>
        <v>Mpox</v>
      </c>
      <c r="M1432" s="55"/>
    </row>
    <row r="1433">
      <c r="A1433" s="29"/>
      <c r="B1433" s="50" t="str">
        <f>IFERROR(__xludf.DUMMYFUNCTION("""COMPUTED_VALUE"""),"Mauritius                    ")</f>
        <v>Mauritius                    </v>
      </c>
      <c r="C1433" s="29" t="str">
        <f>IFERROR(__xludf.DUMMYFUNCTION("""COMPUTED_VALUE"""),"GAZ:00003745")</f>
        <v>GAZ:00003745</v>
      </c>
      <c r="D1433"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433" s="29"/>
      <c r="F1433" s="29"/>
      <c r="G1433" s="29"/>
      <c r="H1433" s="54" t="s">
        <v>19</v>
      </c>
      <c r="I1433" s="54" t="s">
        <v>19</v>
      </c>
      <c r="J1433" s="54" t="s">
        <v>19</v>
      </c>
      <c r="K1433" s="52" t="str">
        <f t="shared" si="74"/>
        <v>Mpox</v>
      </c>
      <c r="M1433" s="55"/>
    </row>
    <row r="1434">
      <c r="A1434" s="29"/>
      <c r="B1434" s="50" t="str">
        <f>IFERROR(__xludf.DUMMYFUNCTION("""COMPUTED_VALUE"""),"Mayotte                    ")</f>
        <v>Mayotte                    </v>
      </c>
      <c r="C1434" s="29" t="str">
        <f>IFERROR(__xludf.DUMMYFUNCTION("""COMPUTED_VALUE"""),"GAZ:00003943")</f>
        <v>GAZ:00003943</v>
      </c>
      <c r="D1434"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434" s="29"/>
      <c r="F1434" s="29"/>
      <c r="G1434" s="29"/>
      <c r="H1434" s="54" t="s">
        <v>19</v>
      </c>
      <c r="I1434" s="54" t="s">
        <v>19</v>
      </c>
      <c r="J1434" s="54" t="s">
        <v>19</v>
      </c>
      <c r="K1434" s="52" t="str">
        <f t="shared" si="74"/>
        <v>Mpox</v>
      </c>
      <c r="M1434" s="55"/>
    </row>
    <row r="1435">
      <c r="A1435" s="29"/>
      <c r="B1435" s="50" t="str">
        <f>IFERROR(__xludf.DUMMYFUNCTION("""COMPUTED_VALUE"""),"Mexico                    ")</f>
        <v>Mexico                    </v>
      </c>
      <c r="C1435" s="29" t="str">
        <f>IFERROR(__xludf.DUMMYFUNCTION("""COMPUTED_VALUE"""),"GAZ:00002852")</f>
        <v>GAZ:00002852</v>
      </c>
      <c r="D1435"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435" s="29"/>
      <c r="F1435" s="29"/>
      <c r="G1435" s="29"/>
      <c r="H1435" s="54" t="s">
        <v>19</v>
      </c>
      <c r="I1435" s="54" t="s">
        <v>19</v>
      </c>
      <c r="J1435" s="54" t="s">
        <v>19</v>
      </c>
      <c r="K1435" s="52" t="str">
        <f t="shared" si="74"/>
        <v>Mpox</v>
      </c>
      <c r="M1435" s="55"/>
    </row>
    <row r="1436">
      <c r="A1436" s="29"/>
      <c r="B1436" s="50" t="str">
        <f>IFERROR(__xludf.DUMMYFUNCTION("""COMPUTED_VALUE"""),"Micronesia                    ")</f>
        <v>Micronesia                    </v>
      </c>
      <c r="C1436" s="29" t="str">
        <f>IFERROR(__xludf.DUMMYFUNCTION("""COMPUTED_VALUE"""),"GAZ:00005862")</f>
        <v>GAZ:00005862</v>
      </c>
      <c r="D1436"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436" s="29"/>
      <c r="F1436" s="29"/>
      <c r="G1436" s="29"/>
      <c r="H1436" s="54" t="s">
        <v>19</v>
      </c>
      <c r="I1436" s="54" t="s">
        <v>19</v>
      </c>
      <c r="J1436" s="54" t="s">
        <v>19</v>
      </c>
      <c r="K1436" s="52" t="str">
        <f t="shared" si="74"/>
        <v>Mpox</v>
      </c>
      <c r="M1436" s="55"/>
    </row>
    <row r="1437">
      <c r="A1437" s="29"/>
      <c r="B1437" s="50" t="str">
        <f>IFERROR(__xludf.DUMMYFUNCTION("""COMPUTED_VALUE"""),"Midway Islands                    ")</f>
        <v>Midway Islands                    </v>
      </c>
      <c r="C1437" s="29" t="str">
        <f>IFERROR(__xludf.DUMMYFUNCTION("""COMPUTED_VALUE"""),"GAZ:00007112")</f>
        <v>GAZ:00007112</v>
      </c>
      <c r="D1437"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437" s="29"/>
      <c r="F1437" s="29"/>
      <c r="G1437" s="29"/>
      <c r="H1437" s="54" t="s">
        <v>19</v>
      </c>
      <c r="I1437" s="54" t="s">
        <v>19</v>
      </c>
      <c r="J1437" s="54" t="s">
        <v>19</v>
      </c>
      <c r="K1437" s="52" t="str">
        <f t="shared" si="74"/>
        <v>Mpox</v>
      </c>
      <c r="M1437" s="55"/>
    </row>
    <row r="1438">
      <c r="A1438" s="29"/>
      <c r="B1438" s="50" t="str">
        <f>IFERROR(__xludf.DUMMYFUNCTION("""COMPUTED_VALUE"""),"Moldova                    ")</f>
        <v>Moldova                    </v>
      </c>
      <c r="C1438" s="29" t="str">
        <f>IFERROR(__xludf.DUMMYFUNCTION("""COMPUTED_VALUE"""),"GAZ:00003897")</f>
        <v>GAZ:00003897</v>
      </c>
      <c r="D1438"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438" s="29"/>
      <c r="F1438" s="29"/>
      <c r="G1438" s="29"/>
      <c r="H1438" s="54" t="s">
        <v>19</v>
      </c>
      <c r="I1438" s="54" t="s">
        <v>19</v>
      </c>
      <c r="J1438" s="54" t="s">
        <v>19</v>
      </c>
      <c r="K1438" s="52" t="str">
        <f t="shared" si="74"/>
        <v>Mpox</v>
      </c>
      <c r="M1438" s="55"/>
    </row>
    <row r="1439">
      <c r="A1439" s="29"/>
      <c r="B1439" s="50" t="str">
        <f>IFERROR(__xludf.DUMMYFUNCTION("""COMPUTED_VALUE"""),"Monaco                    ")</f>
        <v>Monaco                    </v>
      </c>
      <c r="C1439" s="29" t="str">
        <f>IFERROR(__xludf.DUMMYFUNCTION("""COMPUTED_VALUE"""),"GAZ:00003857")</f>
        <v>GAZ:00003857</v>
      </c>
      <c r="D1439"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439" s="29"/>
      <c r="F1439" s="29"/>
      <c r="G1439" s="29"/>
      <c r="H1439" s="54" t="s">
        <v>19</v>
      </c>
      <c r="I1439" s="54" t="s">
        <v>19</v>
      </c>
      <c r="J1439" s="54" t="s">
        <v>19</v>
      </c>
      <c r="K1439" s="52" t="str">
        <f t="shared" si="74"/>
        <v>Mpox</v>
      </c>
      <c r="M1439" s="55"/>
    </row>
    <row r="1440">
      <c r="A1440" s="29"/>
      <c r="B1440" s="50" t="str">
        <f>IFERROR(__xludf.DUMMYFUNCTION("""COMPUTED_VALUE"""),"Mongolia                    ")</f>
        <v>Mongolia                    </v>
      </c>
      <c r="C1440" s="29" t="str">
        <f>IFERROR(__xludf.DUMMYFUNCTION("""COMPUTED_VALUE"""),"GAZ:00008744")</f>
        <v>GAZ:00008744</v>
      </c>
      <c r="D1440"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440" s="29"/>
      <c r="F1440" s="29"/>
      <c r="G1440" s="29"/>
      <c r="H1440" s="54" t="s">
        <v>19</v>
      </c>
      <c r="I1440" s="54" t="s">
        <v>19</v>
      </c>
      <c r="J1440" s="54" t="s">
        <v>19</v>
      </c>
      <c r="K1440" s="52" t="str">
        <f t="shared" si="74"/>
        <v>Mpox</v>
      </c>
      <c r="M1440" s="55"/>
    </row>
    <row r="1441">
      <c r="A1441" s="29"/>
      <c r="B1441" s="50" t="str">
        <f>IFERROR(__xludf.DUMMYFUNCTION("""COMPUTED_VALUE"""),"Montenegro                    ")</f>
        <v>Montenegro                    </v>
      </c>
      <c r="C1441" s="29" t="str">
        <f>IFERROR(__xludf.DUMMYFUNCTION("""COMPUTED_VALUE"""),"GAZ:00006898")</f>
        <v>GAZ:00006898</v>
      </c>
      <c r="D1441"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441" s="29"/>
      <c r="F1441" s="29"/>
      <c r="G1441" s="29"/>
      <c r="H1441" s="54" t="s">
        <v>19</v>
      </c>
      <c r="I1441" s="54" t="s">
        <v>19</v>
      </c>
      <c r="J1441" s="54" t="s">
        <v>19</v>
      </c>
      <c r="K1441" s="52" t="str">
        <f t="shared" si="74"/>
        <v>Mpox</v>
      </c>
      <c r="M1441" s="55"/>
    </row>
    <row r="1442">
      <c r="A1442" s="30"/>
      <c r="B1442" s="50" t="str">
        <f>IFERROR(__xludf.DUMMYFUNCTION("""COMPUTED_VALUE"""),"Montserrat                    ")</f>
        <v>Montserrat                    </v>
      </c>
      <c r="C1442" s="29" t="str">
        <f>IFERROR(__xludf.DUMMYFUNCTION("""COMPUTED_VALUE"""),"GAZ:00003988")</f>
        <v>GAZ:00003988</v>
      </c>
      <c r="D1442" s="29" t="str">
        <f>IFERROR(__xludf.DUMMYFUNCTION("""COMPUTED_VALUE"""),"A British overseas territory located in the Leeward Islands. Montserrat is divided into three parishes.")</f>
        <v>A British overseas territory located in the Leeward Islands. Montserrat is divided into three parishes.</v>
      </c>
      <c r="E1442" s="29"/>
      <c r="F1442" s="29"/>
      <c r="G1442" s="29"/>
      <c r="H1442" s="54" t="s">
        <v>19</v>
      </c>
      <c r="I1442" s="54" t="s">
        <v>19</v>
      </c>
      <c r="J1442" s="54" t="s">
        <v>19</v>
      </c>
      <c r="K1442" s="52" t="str">
        <f t="shared" si="74"/>
        <v>Mpox</v>
      </c>
      <c r="M1442" s="55"/>
    </row>
    <row r="1443">
      <c r="A1443" s="29"/>
      <c r="B1443" s="50" t="str">
        <f>IFERROR(__xludf.DUMMYFUNCTION("""COMPUTED_VALUE"""),"Morocco                    ")</f>
        <v>Morocco                    </v>
      </c>
      <c r="C1443" s="29" t="str">
        <f>IFERROR(__xludf.DUMMYFUNCTION("""COMPUTED_VALUE"""),"GAZ:00000565")</f>
        <v>GAZ:00000565</v>
      </c>
      <c r="D1443"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443" s="29"/>
      <c r="F1443" s="29"/>
      <c r="G1443" s="29"/>
      <c r="H1443" s="54" t="s">
        <v>19</v>
      </c>
      <c r="I1443" s="54" t="s">
        <v>19</v>
      </c>
      <c r="J1443" s="54" t="s">
        <v>19</v>
      </c>
      <c r="K1443" s="52" t="str">
        <f t="shared" si="74"/>
        <v>Mpox</v>
      </c>
      <c r="M1443" s="55"/>
    </row>
    <row r="1444">
      <c r="A1444" s="29"/>
      <c r="B1444" s="50" t="str">
        <f>IFERROR(__xludf.DUMMYFUNCTION("""COMPUTED_VALUE"""),"Mozambique                    ")</f>
        <v>Mozambique                    </v>
      </c>
      <c r="C1444" s="29" t="str">
        <f>IFERROR(__xludf.DUMMYFUNCTION("""COMPUTED_VALUE"""),"GAZ:00001100")</f>
        <v>GAZ:00001100</v>
      </c>
      <c r="D1444"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444" s="29"/>
      <c r="F1444" s="29"/>
      <c r="G1444" s="29"/>
      <c r="H1444" s="54" t="s">
        <v>19</v>
      </c>
      <c r="I1444" s="54" t="s">
        <v>19</v>
      </c>
      <c r="J1444" s="54" t="s">
        <v>19</v>
      </c>
      <c r="K1444" s="52" t="str">
        <f t="shared" si="74"/>
        <v>Mpox</v>
      </c>
      <c r="M1444" s="55"/>
    </row>
    <row r="1445">
      <c r="A1445" s="29"/>
      <c r="B1445" s="50" t="str">
        <f>IFERROR(__xludf.DUMMYFUNCTION("""COMPUTED_VALUE"""),"Myanmar                    ")</f>
        <v>Myanmar                    </v>
      </c>
      <c r="C1445" s="29" t="str">
        <f>IFERROR(__xludf.DUMMYFUNCTION("""COMPUTED_VALUE"""),"GAZ:00006899")</f>
        <v>GAZ:00006899</v>
      </c>
      <c r="D1445"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445" s="29"/>
      <c r="F1445" s="29"/>
      <c r="G1445" s="29"/>
      <c r="H1445" s="54" t="s">
        <v>19</v>
      </c>
      <c r="I1445" s="54" t="s">
        <v>19</v>
      </c>
      <c r="J1445" s="54" t="s">
        <v>19</v>
      </c>
      <c r="K1445" s="52" t="str">
        <f t="shared" si="74"/>
        <v>Mpox</v>
      </c>
      <c r="M1445" s="55"/>
    </row>
    <row r="1446">
      <c r="A1446" s="29"/>
      <c r="B1446" s="50" t="str">
        <f>IFERROR(__xludf.DUMMYFUNCTION("""COMPUTED_VALUE"""),"Namibia                    ")</f>
        <v>Namibia                    </v>
      </c>
      <c r="C1446" s="29" t="str">
        <f>IFERROR(__xludf.DUMMYFUNCTION("""COMPUTED_VALUE"""),"GAZ:00001096")</f>
        <v>GAZ:00001096</v>
      </c>
      <c r="D1446"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446" s="29"/>
      <c r="F1446" s="29"/>
      <c r="G1446" s="29"/>
      <c r="H1446" s="54" t="s">
        <v>19</v>
      </c>
      <c r="I1446" s="54" t="s">
        <v>19</v>
      </c>
      <c r="J1446" s="54" t="s">
        <v>19</v>
      </c>
      <c r="K1446" s="52" t="str">
        <f t="shared" si="74"/>
        <v>Mpox</v>
      </c>
      <c r="M1446" s="55"/>
    </row>
    <row r="1447">
      <c r="A1447" s="29"/>
      <c r="B1447" s="50" t="str">
        <f>IFERROR(__xludf.DUMMYFUNCTION("""COMPUTED_VALUE"""),"Nauru                    ")</f>
        <v>Nauru                    </v>
      </c>
      <c r="C1447" s="29" t="str">
        <f>IFERROR(__xludf.DUMMYFUNCTION("""COMPUTED_VALUE"""),"GAZ:00006900")</f>
        <v>GAZ:00006900</v>
      </c>
      <c r="D1447"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447" s="29"/>
      <c r="F1447" s="29"/>
      <c r="G1447" s="29"/>
      <c r="H1447" s="54" t="s">
        <v>19</v>
      </c>
      <c r="I1447" s="54" t="s">
        <v>19</v>
      </c>
      <c r="J1447" s="54" t="s">
        <v>19</v>
      </c>
      <c r="K1447" s="52" t="str">
        <f t="shared" si="74"/>
        <v>Mpox</v>
      </c>
      <c r="M1447" s="55"/>
    </row>
    <row r="1448">
      <c r="A1448" s="29"/>
      <c r="B1448" s="50" t="str">
        <f>IFERROR(__xludf.DUMMYFUNCTION("""COMPUTED_VALUE"""),"Navassa Island                    ")</f>
        <v>Navassa Island                    </v>
      </c>
      <c r="C1448" s="29" t="str">
        <f>IFERROR(__xludf.DUMMYFUNCTION("""COMPUTED_VALUE"""),"GAZ:00007119")</f>
        <v>GAZ:00007119</v>
      </c>
      <c r="D1448"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448" s="29"/>
      <c r="F1448" s="29"/>
      <c r="G1448" s="29"/>
      <c r="H1448" s="54" t="s">
        <v>19</v>
      </c>
      <c r="I1448" s="54" t="s">
        <v>19</v>
      </c>
      <c r="J1448" s="54" t="s">
        <v>19</v>
      </c>
      <c r="K1448" s="52" t="str">
        <f t="shared" si="74"/>
        <v>Mpox</v>
      </c>
      <c r="M1448" s="55"/>
    </row>
    <row r="1449">
      <c r="A1449" s="29"/>
      <c r="B1449" s="50" t="str">
        <f>IFERROR(__xludf.DUMMYFUNCTION("""COMPUTED_VALUE"""),"Nepal                    ")</f>
        <v>Nepal                    </v>
      </c>
      <c r="C1449" s="29" t="str">
        <f>IFERROR(__xludf.DUMMYFUNCTION("""COMPUTED_VALUE"""),"GAZ:00004399")</f>
        <v>GAZ:00004399</v>
      </c>
      <c r="D1449"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449" s="29"/>
      <c r="F1449" s="29"/>
      <c r="G1449" s="29"/>
      <c r="H1449" s="54" t="s">
        <v>19</v>
      </c>
      <c r="I1449" s="54" t="s">
        <v>19</v>
      </c>
      <c r="J1449" s="54" t="s">
        <v>19</v>
      </c>
      <c r="K1449" s="52" t="str">
        <f t="shared" si="74"/>
        <v>Mpox</v>
      </c>
      <c r="M1449" s="55"/>
      <c r="N1449" s="58" t="s">
        <v>34</v>
      </c>
    </row>
    <row r="1450">
      <c r="A1450" s="29"/>
      <c r="B1450" s="50" t="str">
        <f>IFERROR(__xludf.DUMMYFUNCTION("""COMPUTED_VALUE"""),"Netherlands                    ")</f>
        <v>Netherlands                    </v>
      </c>
      <c r="C1450" s="29" t="str">
        <f>IFERROR(__xludf.DUMMYFUNCTION("""COMPUTED_VALUE"""),"GAZ:00002946")</f>
        <v>GAZ:00002946</v>
      </c>
      <c r="D1450"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450" s="29"/>
      <c r="F1450" s="29"/>
      <c r="G1450" s="29"/>
      <c r="H1450" s="54" t="s">
        <v>19</v>
      </c>
      <c r="I1450" s="54" t="s">
        <v>19</v>
      </c>
      <c r="J1450" s="54" t="s">
        <v>19</v>
      </c>
      <c r="K1450" s="52" t="str">
        <f t="shared" si="74"/>
        <v>Mpox</v>
      </c>
      <c r="M1450" s="55"/>
    </row>
    <row r="1451">
      <c r="A1451" s="29"/>
      <c r="B1451" s="50" t="str">
        <f>IFERROR(__xludf.DUMMYFUNCTION("""COMPUTED_VALUE"""),"New Caledonia                    ")</f>
        <v>New Caledonia                    </v>
      </c>
      <c r="C1451" s="29" t="str">
        <f>IFERROR(__xludf.DUMMYFUNCTION("""COMPUTED_VALUE"""),"GAZ:00005206")</f>
        <v>GAZ:00005206</v>
      </c>
      <c r="D1451"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451" s="29"/>
      <c r="F1451" s="29"/>
      <c r="G1451" s="29"/>
      <c r="H1451" s="54" t="s">
        <v>19</v>
      </c>
      <c r="I1451" s="54" t="s">
        <v>19</v>
      </c>
      <c r="J1451" s="54" t="s">
        <v>19</v>
      </c>
      <c r="K1451" s="52" t="str">
        <f t="shared" si="74"/>
        <v>Mpox</v>
      </c>
      <c r="M1451" s="55"/>
    </row>
    <row r="1452">
      <c r="A1452" s="29"/>
      <c r="B1452" s="50" t="str">
        <f>IFERROR(__xludf.DUMMYFUNCTION("""COMPUTED_VALUE"""),"New Zealand                    ")</f>
        <v>New Zealand                    </v>
      </c>
      <c r="C1452" s="29" t="str">
        <f>IFERROR(__xludf.DUMMYFUNCTION("""COMPUTED_VALUE"""),"GAZ:00000469")</f>
        <v>GAZ:00000469</v>
      </c>
      <c r="D1452"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452" s="29"/>
      <c r="F1452" s="29"/>
      <c r="G1452" s="29"/>
      <c r="H1452" s="54" t="s">
        <v>19</v>
      </c>
      <c r="I1452" s="54" t="s">
        <v>19</v>
      </c>
      <c r="J1452" s="54" t="s">
        <v>19</v>
      </c>
      <c r="K1452" s="52" t="str">
        <f t="shared" si="74"/>
        <v>Mpox</v>
      </c>
      <c r="M1452" s="55"/>
    </row>
    <row r="1453">
      <c r="A1453" s="29"/>
      <c r="B1453" s="50" t="str">
        <f>IFERROR(__xludf.DUMMYFUNCTION("""COMPUTED_VALUE"""),"Nicaragua                    ")</f>
        <v>Nicaragua                    </v>
      </c>
      <c r="C1453" s="29" t="str">
        <f>IFERROR(__xludf.DUMMYFUNCTION("""COMPUTED_VALUE"""),"GAZ:00002978")</f>
        <v>GAZ:00002978</v>
      </c>
      <c r="D1453"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453" s="29"/>
      <c r="F1453" s="29"/>
      <c r="G1453" s="29"/>
      <c r="H1453" s="54" t="s">
        <v>19</v>
      </c>
      <c r="I1453" s="54" t="s">
        <v>19</v>
      </c>
      <c r="J1453" s="54" t="s">
        <v>19</v>
      </c>
      <c r="K1453" s="52" t="str">
        <f t="shared" si="74"/>
        <v>Mpox</v>
      </c>
      <c r="M1453" s="55"/>
    </row>
    <row r="1454">
      <c r="A1454" s="29"/>
      <c r="B1454" s="50" t="str">
        <f>IFERROR(__xludf.DUMMYFUNCTION("""COMPUTED_VALUE"""),"Niger                    ")</f>
        <v>Niger                    </v>
      </c>
      <c r="C1454" s="29" t="str">
        <f>IFERROR(__xludf.DUMMYFUNCTION("""COMPUTED_VALUE"""),"GAZ:00000585")</f>
        <v>GAZ:00000585</v>
      </c>
      <c r="D1454"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454" s="29"/>
      <c r="F1454" s="29"/>
      <c r="G1454" s="29"/>
      <c r="H1454" s="54" t="s">
        <v>19</v>
      </c>
      <c r="I1454" s="54" t="s">
        <v>19</v>
      </c>
      <c r="J1454" s="54" t="s">
        <v>19</v>
      </c>
      <c r="K1454" s="52" t="str">
        <f t="shared" si="74"/>
        <v>Mpox</v>
      </c>
      <c r="M1454" s="55"/>
    </row>
    <row r="1455">
      <c r="A1455" s="29"/>
      <c r="B1455" s="50" t="str">
        <f>IFERROR(__xludf.DUMMYFUNCTION("""COMPUTED_VALUE"""),"Nigeria                    ")</f>
        <v>Nigeria                    </v>
      </c>
      <c r="C1455" s="29" t="str">
        <f>IFERROR(__xludf.DUMMYFUNCTION("""COMPUTED_VALUE"""),"GAZ:00000912")</f>
        <v>GAZ:00000912</v>
      </c>
      <c r="D1455"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455" s="29"/>
      <c r="F1455" s="29"/>
      <c r="G1455" s="29"/>
      <c r="H1455" s="54" t="s">
        <v>19</v>
      </c>
      <c r="I1455" s="54" t="s">
        <v>19</v>
      </c>
      <c r="J1455" s="54" t="s">
        <v>19</v>
      </c>
      <c r="K1455" s="52" t="str">
        <f t="shared" si="74"/>
        <v>Mpox</v>
      </c>
      <c r="M1455" s="55"/>
    </row>
    <row r="1456">
      <c r="A1456" s="29"/>
      <c r="B1456" s="50" t="str">
        <f>IFERROR(__xludf.DUMMYFUNCTION("""COMPUTED_VALUE"""),"Niue                    ")</f>
        <v>Niue                    </v>
      </c>
      <c r="C1456" s="29" t="str">
        <f>IFERROR(__xludf.DUMMYFUNCTION("""COMPUTED_VALUE"""),"GAZ:00006902")</f>
        <v>GAZ:00006902</v>
      </c>
      <c r="D1456"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456" s="29"/>
      <c r="F1456" s="29"/>
      <c r="G1456" s="29"/>
      <c r="H1456" s="54" t="s">
        <v>19</v>
      </c>
      <c r="I1456" s="54" t="s">
        <v>19</v>
      </c>
      <c r="J1456" s="54" t="s">
        <v>19</v>
      </c>
      <c r="K1456" s="52" t="str">
        <f t="shared" si="74"/>
        <v>Mpox</v>
      </c>
      <c r="M1456" s="55"/>
    </row>
    <row r="1457">
      <c r="A1457" s="29"/>
      <c r="B1457" s="50" t="str">
        <f>IFERROR(__xludf.DUMMYFUNCTION("""COMPUTED_VALUE"""),"Norfolk Island                    ")</f>
        <v>Norfolk Island                    </v>
      </c>
      <c r="C1457" s="29" t="str">
        <f>IFERROR(__xludf.DUMMYFUNCTION("""COMPUTED_VALUE"""),"GAZ:00005908")</f>
        <v>GAZ:00005908</v>
      </c>
      <c r="D1457" s="29" t="str">
        <f>IFERROR(__xludf.DUMMYFUNCTION("""COMPUTED_VALUE"""),"A Territory of Australia that includes Norfolk Island and neighboring islands.")</f>
        <v>A Territory of Australia that includes Norfolk Island and neighboring islands.</v>
      </c>
      <c r="E1457" s="29"/>
      <c r="F1457" s="29"/>
      <c r="G1457" s="29"/>
      <c r="H1457" s="54" t="s">
        <v>19</v>
      </c>
      <c r="I1457" s="54" t="s">
        <v>19</v>
      </c>
      <c r="J1457" s="54" t="s">
        <v>19</v>
      </c>
      <c r="K1457" s="52" t="str">
        <f t="shared" si="74"/>
        <v>Mpox</v>
      </c>
      <c r="M1457" s="55"/>
    </row>
    <row r="1458">
      <c r="A1458" s="29"/>
      <c r="B1458" s="50" t="str">
        <f>IFERROR(__xludf.DUMMYFUNCTION("""COMPUTED_VALUE"""),"North Korea                    ")</f>
        <v>North Korea                    </v>
      </c>
      <c r="C1458" s="29" t="str">
        <f>IFERROR(__xludf.DUMMYFUNCTION("""COMPUTED_VALUE"""),"GAZ:00002801")</f>
        <v>GAZ:00002801</v>
      </c>
      <c r="D1458"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458" s="29"/>
      <c r="F1458" s="29"/>
      <c r="G1458" s="29"/>
      <c r="H1458" s="54" t="s">
        <v>19</v>
      </c>
      <c r="I1458" s="54" t="s">
        <v>19</v>
      </c>
      <c r="J1458" s="54" t="s">
        <v>19</v>
      </c>
      <c r="K1458" s="52" t="str">
        <f t="shared" si="74"/>
        <v>Mpox</v>
      </c>
      <c r="M1458" s="55"/>
    </row>
    <row r="1459">
      <c r="A1459" s="29"/>
      <c r="B1459" s="50" t="str">
        <f>IFERROR(__xludf.DUMMYFUNCTION("""COMPUTED_VALUE"""),"North Macedonia                    ")</f>
        <v>North Macedonia                    </v>
      </c>
      <c r="C1459" s="29" t="str">
        <f>IFERROR(__xludf.DUMMYFUNCTION("""COMPUTED_VALUE"""),"GAZ:00006895")</f>
        <v>GAZ:00006895</v>
      </c>
      <c r="D1459"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459" s="29"/>
      <c r="F1459" s="29"/>
      <c r="G1459" s="29"/>
      <c r="H1459" s="54" t="s">
        <v>19</v>
      </c>
      <c r="I1459" s="54" t="s">
        <v>19</v>
      </c>
      <c r="J1459" s="54" t="s">
        <v>19</v>
      </c>
      <c r="K1459" s="52" t="str">
        <f t="shared" si="74"/>
        <v>Mpox</v>
      </c>
      <c r="M1459" s="55"/>
    </row>
    <row r="1460">
      <c r="A1460" s="29"/>
      <c r="B1460" s="50" t="str">
        <f>IFERROR(__xludf.DUMMYFUNCTION("""COMPUTED_VALUE"""),"North Sea                    ")</f>
        <v>North Sea                    </v>
      </c>
      <c r="C1460" s="29" t="str">
        <f>IFERROR(__xludf.DUMMYFUNCTION("""COMPUTED_VALUE"""),"GAZ:00002284")</f>
        <v>GAZ:00002284</v>
      </c>
      <c r="D1460" s="29" t="str">
        <f>IFERROR(__xludf.DUMMYFUNCTION("""COMPUTED_VALUE"""),"A sea situated between the eastern coasts of the British Isles and the western coast of Europe.")</f>
        <v>A sea situated between the eastern coasts of the British Isles and the western coast of Europe.</v>
      </c>
      <c r="E1460" s="29"/>
      <c r="F1460" s="29"/>
      <c r="G1460" s="29"/>
      <c r="H1460" s="54" t="s">
        <v>19</v>
      </c>
      <c r="I1460" s="54" t="s">
        <v>19</v>
      </c>
      <c r="J1460" s="54" t="s">
        <v>19</v>
      </c>
      <c r="K1460" s="52" t="str">
        <f t="shared" si="74"/>
        <v>Mpox</v>
      </c>
      <c r="M1460" s="55"/>
    </row>
    <row r="1461">
      <c r="A1461" s="29"/>
      <c r="B1461" s="50" t="str">
        <f>IFERROR(__xludf.DUMMYFUNCTION("""COMPUTED_VALUE"""),"Northern Mariana Islands                    ")</f>
        <v>Northern Mariana Islands                    </v>
      </c>
      <c r="C1461" s="29" t="str">
        <f>IFERROR(__xludf.DUMMYFUNCTION("""COMPUTED_VALUE"""),"GAZ:00003958")</f>
        <v>GAZ:00003958</v>
      </c>
      <c r="D1461" s="29" t="str">
        <f>IFERROR(__xludf.DUMMYFUNCTION("""COMPUTED_VALUE"""),"A group of 15 islands about three-quarters of the way from Hawaii to the Philippines.")</f>
        <v>A group of 15 islands about three-quarters of the way from Hawaii to the Philippines.</v>
      </c>
      <c r="E1461" s="29"/>
      <c r="F1461" s="29"/>
      <c r="G1461" s="29"/>
      <c r="H1461" s="54" t="s">
        <v>19</v>
      </c>
      <c r="I1461" s="54" t="s">
        <v>19</v>
      </c>
      <c r="J1461" s="54" t="s">
        <v>19</v>
      </c>
      <c r="K1461" s="52" t="str">
        <f t="shared" si="74"/>
        <v>Mpox</v>
      </c>
      <c r="M1461" s="55"/>
    </row>
    <row r="1462">
      <c r="A1462" s="29"/>
      <c r="B1462" s="50" t="str">
        <f>IFERROR(__xludf.DUMMYFUNCTION("""COMPUTED_VALUE"""),"Norway                    ")</f>
        <v>Norway                    </v>
      </c>
      <c r="C1462" s="29" t="str">
        <f>IFERROR(__xludf.DUMMYFUNCTION("""COMPUTED_VALUE"""),"GAZ:00002699")</f>
        <v>GAZ:00002699</v>
      </c>
      <c r="D1462"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462" s="29"/>
      <c r="F1462" s="29"/>
      <c r="G1462" s="29"/>
      <c r="H1462" s="54" t="s">
        <v>19</v>
      </c>
      <c r="I1462" s="54" t="s">
        <v>19</v>
      </c>
      <c r="J1462" s="54" t="s">
        <v>19</v>
      </c>
      <c r="K1462" s="52" t="str">
        <f t="shared" si="74"/>
        <v>Mpox</v>
      </c>
      <c r="M1462" s="55"/>
    </row>
    <row r="1463">
      <c r="A1463" s="29"/>
      <c r="B1463" s="50" t="str">
        <f>IFERROR(__xludf.DUMMYFUNCTION("""COMPUTED_VALUE"""),"Oman                    ")</f>
        <v>Oman                    </v>
      </c>
      <c r="C1463" s="29" t="str">
        <f>IFERROR(__xludf.DUMMYFUNCTION("""COMPUTED_VALUE"""),"GAZ:00005283")</f>
        <v>GAZ:00005283</v>
      </c>
      <c r="D1463"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463" s="29"/>
      <c r="F1463" s="29"/>
      <c r="G1463" s="29"/>
      <c r="H1463" s="54" t="s">
        <v>19</v>
      </c>
      <c r="I1463" s="54" t="s">
        <v>19</v>
      </c>
      <c r="J1463" s="54" t="s">
        <v>19</v>
      </c>
      <c r="K1463" s="52" t="str">
        <f t="shared" si="74"/>
        <v>Mpox</v>
      </c>
      <c r="M1463" s="55"/>
    </row>
    <row r="1464">
      <c r="A1464" s="29"/>
      <c r="B1464" s="50" t="str">
        <f>IFERROR(__xludf.DUMMYFUNCTION("""COMPUTED_VALUE"""),"Pakistan                    ")</f>
        <v>Pakistan                    </v>
      </c>
      <c r="C1464" s="29" t="str">
        <f>IFERROR(__xludf.DUMMYFUNCTION("""COMPUTED_VALUE"""),"GAZ:00005246")</f>
        <v>GAZ:00005246</v>
      </c>
      <c r="D1464"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464" s="29"/>
      <c r="F1464" s="29"/>
      <c r="G1464" s="29"/>
      <c r="H1464" s="54" t="s">
        <v>19</v>
      </c>
      <c r="I1464" s="54" t="s">
        <v>19</v>
      </c>
      <c r="J1464" s="54" t="s">
        <v>19</v>
      </c>
      <c r="K1464" s="52" t="str">
        <f t="shared" si="74"/>
        <v>Mpox</v>
      </c>
      <c r="M1464" s="55"/>
    </row>
    <row r="1465">
      <c r="A1465" s="29"/>
      <c r="B1465" s="50" t="str">
        <f>IFERROR(__xludf.DUMMYFUNCTION("""COMPUTED_VALUE"""),"Palau                    ")</f>
        <v>Palau                    </v>
      </c>
      <c r="C1465" s="29" t="str">
        <f>IFERROR(__xludf.DUMMYFUNCTION("""COMPUTED_VALUE"""),"GAZ:00006905")</f>
        <v>GAZ:00006905</v>
      </c>
      <c r="D1465"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465" s="29"/>
      <c r="F1465" s="29"/>
      <c r="G1465" s="29"/>
      <c r="H1465" s="54" t="s">
        <v>19</v>
      </c>
      <c r="I1465" s="54" t="s">
        <v>19</v>
      </c>
      <c r="J1465" s="54" t="s">
        <v>19</v>
      </c>
      <c r="K1465" s="52" t="str">
        <f t="shared" si="74"/>
        <v>Mpox</v>
      </c>
      <c r="M1465" s="55"/>
    </row>
    <row r="1466">
      <c r="A1466" s="29"/>
      <c r="B1466" s="50" t="str">
        <f>IFERROR(__xludf.DUMMYFUNCTION("""COMPUTED_VALUE"""),"Panama                    ")</f>
        <v>Panama                    </v>
      </c>
      <c r="C1466" s="29" t="str">
        <f>IFERROR(__xludf.DUMMYFUNCTION("""COMPUTED_VALUE"""),"GAZ:00002892")</f>
        <v>GAZ:00002892</v>
      </c>
      <c r="D1466"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466" s="29"/>
      <c r="F1466" s="29"/>
      <c r="G1466" s="29"/>
      <c r="H1466" s="54" t="s">
        <v>19</v>
      </c>
      <c r="I1466" s="54" t="s">
        <v>19</v>
      </c>
      <c r="J1466" s="54" t="s">
        <v>19</v>
      </c>
      <c r="K1466" s="52" t="str">
        <f t="shared" si="74"/>
        <v>Mpox</v>
      </c>
      <c r="M1466" s="55"/>
    </row>
    <row r="1467">
      <c r="A1467" s="29"/>
      <c r="B1467" s="50" t="str">
        <f>IFERROR(__xludf.DUMMYFUNCTION("""COMPUTED_VALUE"""),"Papua New Guinea                    ")</f>
        <v>Papua New Guinea                    </v>
      </c>
      <c r="C1467" s="29" t="str">
        <f>IFERROR(__xludf.DUMMYFUNCTION("""COMPUTED_VALUE"""),"GAZ:00003922")</f>
        <v>GAZ:00003922</v>
      </c>
      <c r="D1467"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467" s="29"/>
      <c r="F1467" s="29"/>
      <c r="G1467" s="29"/>
      <c r="H1467" s="54" t="s">
        <v>19</v>
      </c>
      <c r="I1467" s="54" t="s">
        <v>19</v>
      </c>
      <c r="J1467" s="54" t="s">
        <v>19</v>
      </c>
      <c r="K1467" s="52" t="str">
        <f t="shared" si="74"/>
        <v>Mpox</v>
      </c>
      <c r="M1467" s="55"/>
    </row>
    <row r="1468">
      <c r="A1468" s="29"/>
      <c r="B1468" s="50" t="str">
        <f>IFERROR(__xludf.DUMMYFUNCTION("""COMPUTED_VALUE"""),"Paracel Islands                    ")</f>
        <v>Paracel Islands                    </v>
      </c>
      <c r="C1468" s="29" t="str">
        <f>IFERROR(__xludf.DUMMYFUNCTION("""COMPUTED_VALUE"""),"GAZ:00010832")</f>
        <v>GAZ:00010832</v>
      </c>
      <c r="D1468"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468" s="29"/>
      <c r="F1468" s="29"/>
      <c r="G1468" s="29"/>
      <c r="H1468" s="54" t="s">
        <v>19</v>
      </c>
      <c r="I1468" s="54" t="s">
        <v>19</v>
      </c>
      <c r="J1468" s="54" t="s">
        <v>19</v>
      </c>
      <c r="K1468" s="52" t="str">
        <f t="shared" si="74"/>
        <v>Mpox</v>
      </c>
      <c r="M1468" s="55"/>
    </row>
    <row r="1469">
      <c r="A1469" s="29"/>
      <c r="B1469" s="50" t="str">
        <f>IFERROR(__xludf.DUMMYFUNCTION("""COMPUTED_VALUE"""),"Paraguay                    ")</f>
        <v>Paraguay                    </v>
      </c>
      <c r="C1469" s="29" t="str">
        <f>IFERROR(__xludf.DUMMYFUNCTION("""COMPUTED_VALUE"""),"GAZ:00002933")</f>
        <v>GAZ:00002933</v>
      </c>
      <c r="D1469"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469" s="29"/>
      <c r="F1469" s="29"/>
      <c r="G1469" s="29"/>
      <c r="H1469" s="54" t="s">
        <v>19</v>
      </c>
      <c r="I1469" s="54" t="s">
        <v>19</v>
      </c>
      <c r="J1469" s="54" t="s">
        <v>19</v>
      </c>
      <c r="K1469" s="52" t="str">
        <f t="shared" si="74"/>
        <v>Mpox</v>
      </c>
      <c r="M1469" s="55"/>
    </row>
    <row r="1470">
      <c r="A1470" s="29"/>
      <c r="B1470" s="50" t="str">
        <f>IFERROR(__xludf.DUMMYFUNCTION("""COMPUTED_VALUE"""),"Peru                    ")</f>
        <v>Peru                    </v>
      </c>
      <c r="C1470" s="29" t="str">
        <f>IFERROR(__xludf.DUMMYFUNCTION("""COMPUTED_VALUE"""),"GAZ:00002932")</f>
        <v>GAZ:00002932</v>
      </c>
      <c r="D1470"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470" s="29"/>
      <c r="F1470" s="29"/>
      <c r="G1470" s="29"/>
      <c r="H1470" s="54" t="s">
        <v>19</v>
      </c>
      <c r="I1470" s="54" t="s">
        <v>19</v>
      </c>
      <c r="J1470" s="54" t="s">
        <v>19</v>
      </c>
      <c r="K1470" s="52" t="str">
        <f t="shared" si="74"/>
        <v>Mpox</v>
      </c>
      <c r="M1470" s="55"/>
    </row>
    <row r="1471">
      <c r="A1471" s="29"/>
      <c r="B1471" s="50" t="str">
        <f>IFERROR(__xludf.DUMMYFUNCTION("""COMPUTED_VALUE"""),"Philippines                    ")</f>
        <v>Philippines                    </v>
      </c>
      <c r="C1471" s="29" t="str">
        <f>IFERROR(__xludf.DUMMYFUNCTION("""COMPUTED_VALUE"""),"GAZ:00004525")</f>
        <v>GAZ:00004525</v>
      </c>
      <c r="D1471"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471" s="29"/>
      <c r="F1471" s="29"/>
      <c r="G1471" s="29"/>
      <c r="H1471" s="54" t="s">
        <v>19</v>
      </c>
      <c r="I1471" s="54" t="s">
        <v>19</v>
      </c>
      <c r="J1471" s="54" t="s">
        <v>19</v>
      </c>
      <c r="K1471" s="52" t="str">
        <f t="shared" si="74"/>
        <v>Mpox</v>
      </c>
      <c r="M1471" s="55"/>
    </row>
    <row r="1472">
      <c r="A1472" s="29"/>
      <c r="B1472" s="50" t="str">
        <f>IFERROR(__xludf.DUMMYFUNCTION("""COMPUTED_VALUE"""),"Pitcairn Islands                    ")</f>
        <v>Pitcairn Islands                    </v>
      </c>
      <c r="C1472" s="29" t="str">
        <f>IFERROR(__xludf.DUMMYFUNCTION("""COMPUTED_VALUE"""),"GAZ:00005867")</f>
        <v>GAZ:00005867</v>
      </c>
      <c r="D1472"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472" s="29"/>
      <c r="F1472" s="29"/>
      <c r="G1472" s="29"/>
      <c r="H1472" s="54" t="s">
        <v>19</v>
      </c>
      <c r="I1472" s="54" t="s">
        <v>19</v>
      </c>
      <c r="J1472" s="54" t="s">
        <v>19</v>
      </c>
      <c r="K1472" s="52" t="str">
        <f t="shared" si="74"/>
        <v>Mpox</v>
      </c>
      <c r="M1472" s="55"/>
    </row>
    <row r="1473">
      <c r="A1473" s="29"/>
      <c r="B1473" s="50" t="str">
        <f>IFERROR(__xludf.DUMMYFUNCTION("""COMPUTED_VALUE"""),"Poland                    ")</f>
        <v>Poland                    </v>
      </c>
      <c r="C1473" s="29" t="str">
        <f>IFERROR(__xludf.DUMMYFUNCTION("""COMPUTED_VALUE"""),"GAZ:00002939")</f>
        <v>GAZ:00002939</v>
      </c>
      <c r="D1473"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473" s="29"/>
      <c r="F1473" s="29"/>
      <c r="G1473" s="29"/>
      <c r="H1473" s="54" t="s">
        <v>19</v>
      </c>
      <c r="I1473" s="54" t="s">
        <v>19</v>
      </c>
      <c r="J1473" s="54" t="s">
        <v>19</v>
      </c>
      <c r="K1473" s="52" t="str">
        <f t="shared" si="74"/>
        <v>Mpox</v>
      </c>
      <c r="M1473" s="55"/>
    </row>
    <row r="1474">
      <c r="A1474" s="29"/>
      <c r="B1474" s="50" t="str">
        <f>IFERROR(__xludf.DUMMYFUNCTION("""COMPUTED_VALUE"""),"Portugal                    ")</f>
        <v>Portugal                    </v>
      </c>
      <c r="C1474" s="29" t="str">
        <f>IFERROR(__xludf.DUMMYFUNCTION("""COMPUTED_VALUE"""),"GAZ:00004126")</f>
        <v>GAZ:00004126</v>
      </c>
      <c r="D1474"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474" s="29"/>
      <c r="F1474" s="29"/>
      <c r="G1474" s="29"/>
      <c r="H1474" s="54" t="s">
        <v>19</v>
      </c>
      <c r="I1474" s="54" t="s">
        <v>19</v>
      </c>
      <c r="J1474" s="54" t="s">
        <v>19</v>
      </c>
      <c r="K1474" s="52" t="str">
        <f t="shared" si="74"/>
        <v>Mpox</v>
      </c>
      <c r="M1474" s="55"/>
    </row>
    <row r="1475">
      <c r="A1475" s="29"/>
      <c r="B1475" s="50" t="str">
        <f>IFERROR(__xludf.DUMMYFUNCTION("""COMPUTED_VALUE"""),"Puerto Rico                    ")</f>
        <v>Puerto Rico                    </v>
      </c>
      <c r="C1475" s="29" t="str">
        <f>IFERROR(__xludf.DUMMYFUNCTION("""COMPUTED_VALUE"""),"GAZ:00006935")</f>
        <v>GAZ:00006935</v>
      </c>
      <c r="D1475"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475" s="29"/>
      <c r="F1475" s="29"/>
      <c r="G1475" s="29"/>
      <c r="H1475" s="54" t="s">
        <v>19</v>
      </c>
      <c r="I1475" s="54" t="s">
        <v>19</v>
      </c>
      <c r="J1475" s="54" t="s">
        <v>19</v>
      </c>
      <c r="K1475" s="52" t="str">
        <f t="shared" si="74"/>
        <v>Mpox</v>
      </c>
      <c r="M1475" s="55"/>
    </row>
    <row r="1476">
      <c r="A1476" s="29"/>
      <c r="B1476" s="50" t="str">
        <f>IFERROR(__xludf.DUMMYFUNCTION("""COMPUTED_VALUE"""),"Qatar                    ")</f>
        <v>Qatar                    </v>
      </c>
      <c r="C1476" s="29" t="str">
        <f>IFERROR(__xludf.DUMMYFUNCTION("""COMPUTED_VALUE"""),"GAZ:00005286")</f>
        <v>GAZ:00005286</v>
      </c>
      <c r="D1476"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476" s="29"/>
      <c r="F1476" s="29"/>
      <c r="G1476" s="29"/>
      <c r="H1476" s="54" t="s">
        <v>19</v>
      </c>
      <c r="I1476" s="54" t="s">
        <v>19</v>
      </c>
      <c r="J1476" s="54" t="s">
        <v>19</v>
      </c>
      <c r="K1476" s="52" t="str">
        <f t="shared" si="74"/>
        <v>Mpox</v>
      </c>
      <c r="M1476" s="55"/>
    </row>
    <row r="1477">
      <c r="A1477" s="29"/>
      <c r="B1477" s="50" t="str">
        <f>IFERROR(__xludf.DUMMYFUNCTION("""COMPUTED_VALUE"""),"Republic of the Congo                    ")</f>
        <v>Republic of the Congo                    </v>
      </c>
      <c r="C1477" s="29" t="str">
        <f>IFERROR(__xludf.DUMMYFUNCTION("""COMPUTED_VALUE"""),"GAZ:00001088")</f>
        <v>GAZ:00001088</v>
      </c>
      <c r="D1477"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477" s="29"/>
      <c r="F1477" s="29"/>
      <c r="G1477" s="29"/>
      <c r="H1477" s="54" t="s">
        <v>19</v>
      </c>
      <c r="I1477" s="54" t="s">
        <v>19</v>
      </c>
      <c r="J1477" s="54" t="s">
        <v>19</v>
      </c>
      <c r="K1477" s="52" t="str">
        <f t="shared" si="74"/>
        <v>Mpox</v>
      </c>
      <c r="M1477" s="55"/>
    </row>
    <row r="1478">
      <c r="A1478" s="29"/>
      <c r="B1478" s="50" t="str">
        <f>IFERROR(__xludf.DUMMYFUNCTION("""COMPUTED_VALUE"""),"Reunion                    ")</f>
        <v>Reunion                    </v>
      </c>
      <c r="C1478" s="29" t="str">
        <f>IFERROR(__xludf.DUMMYFUNCTION("""COMPUTED_VALUE"""),"GAZ:00003945")</f>
        <v>GAZ:00003945</v>
      </c>
      <c r="D1478"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478" s="29"/>
      <c r="F1478" s="29"/>
      <c r="G1478" s="29"/>
      <c r="H1478" s="54" t="s">
        <v>19</v>
      </c>
      <c r="I1478" s="54" t="s">
        <v>19</v>
      </c>
      <c r="J1478" s="54" t="s">
        <v>19</v>
      </c>
      <c r="K1478" s="52" t="str">
        <f t="shared" si="74"/>
        <v>Mpox</v>
      </c>
      <c r="M1478" s="55"/>
    </row>
    <row r="1479">
      <c r="A1479" s="29"/>
      <c r="B1479" s="50" t="str">
        <f>IFERROR(__xludf.DUMMYFUNCTION("""COMPUTED_VALUE"""),"Romania                    ")</f>
        <v>Romania                    </v>
      </c>
      <c r="C1479" s="29" t="str">
        <f>IFERROR(__xludf.DUMMYFUNCTION("""COMPUTED_VALUE"""),"GAZ:00002951")</f>
        <v>GAZ:00002951</v>
      </c>
      <c r="D1479"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479" s="29"/>
      <c r="F1479" s="29"/>
      <c r="G1479" s="29"/>
      <c r="H1479" s="54" t="s">
        <v>19</v>
      </c>
      <c r="I1479" s="54" t="s">
        <v>19</v>
      </c>
      <c r="J1479" s="54" t="s">
        <v>19</v>
      </c>
      <c r="K1479" s="52" t="str">
        <f t="shared" si="74"/>
        <v>Mpox</v>
      </c>
      <c r="M1479" s="55"/>
    </row>
    <row r="1480">
      <c r="A1480" s="29"/>
      <c r="B1480" s="50" t="str">
        <f>IFERROR(__xludf.DUMMYFUNCTION("""COMPUTED_VALUE"""),"Ross Sea                    ")</f>
        <v>Ross Sea                    </v>
      </c>
      <c r="C1480" s="29" t="str">
        <f>IFERROR(__xludf.DUMMYFUNCTION("""COMPUTED_VALUE"""),"GAZ:00023304")</f>
        <v>GAZ:00023304</v>
      </c>
      <c r="D1480"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480" s="29"/>
      <c r="F1480" s="29"/>
      <c r="G1480" s="29"/>
      <c r="H1480" s="54" t="s">
        <v>19</v>
      </c>
      <c r="I1480" s="54" t="s">
        <v>19</v>
      </c>
      <c r="J1480" s="54" t="s">
        <v>19</v>
      </c>
      <c r="K1480" s="52" t="str">
        <f t="shared" si="74"/>
        <v>Mpox</v>
      </c>
      <c r="M1480" s="55"/>
    </row>
    <row r="1481">
      <c r="A1481" s="29"/>
      <c r="B1481" s="50" t="str">
        <f>IFERROR(__xludf.DUMMYFUNCTION("""COMPUTED_VALUE"""),"Russia                    ")</f>
        <v>Russia                    </v>
      </c>
      <c r="C1481" s="29" t="str">
        <f>IFERROR(__xludf.DUMMYFUNCTION("""COMPUTED_VALUE"""),"GAZ:00002721")</f>
        <v>GAZ:00002721</v>
      </c>
      <c r="D1481"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481" s="29"/>
      <c r="F1481" s="29"/>
      <c r="G1481" s="29"/>
      <c r="H1481" s="54" t="s">
        <v>19</v>
      </c>
      <c r="I1481" s="54" t="s">
        <v>19</v>
      </c>
      <c r="J1481" s="54" t="s">
        <v>19</v>
      </c>
      <c r="K1481" s="52" t="str">
        <f t="shared" si="74"/>
        <v>Mpox</v>
      </c>
      <c r="M1481" s="55"/>
    </row>
    <row r="1482">
      <c r="A1482" s="29"/>
      <c r="B1482" s="50" t="str">
        <f>IFERROR(__xludf.DUMMYFUNCTION("""COMPUTED_VALUE"""),"Rwanda                    ")</f>
        <v>Rwanda                    </v>
      </c>
      <c r="C1482" s="29" t="str">
        <f>IFERROR(__xludf.DUMMYFUNCTION("""COMPUTED_VALUE"""),"GAZ:00001087")</f>
        <v>GAZ:00001087</v>
      </c>
      <c r="D1482"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482" s="29"/>
      <c r="F1482" s="29"/>
      <c r="G1482" s="29"/>
      <c r="H1482" s="54" t="s">
        <v>19</v>
      </c>
      <c r="I1482" s="54" t="s">
        <v>19</v>
      </c>
      <c r="J1482" s="54" t="s">
        <v>19</v>
      </c>
      <c r="K1482" s="52" t="str">
        <f t="shared" si="74"/>
        <v>Mpox</v>
      </c>
      <c r="M1482" s="55"/>
    </row>
    <row r="1483">
      <c r="A1483" s="29"/>
      <c r="B1483" s="50" t="str">
        <f>IFERROR(__xludf.DUMMYFUNCTION("""COMPUTED_VALUE"""),"Saint Helena                    ")</f>
        <v>Saint Helena                    </v>
      </c>
      <c r="C1483" s="29" t="str">
        <f>IFERROR(__xludf.DUMMYFUNCTION("""COMPUTED_VALUE"""),"GAZ:00000849")</f>
        <v>GAZ:00000849</v>
      </c>
      <c r="D1483" s="29" t="str">
        <f>IFERROR(__xludf.DUMMYFUNCTION("""COMPUTED_VALUE"""),"An island of volcanic origin and a British overseas territory in the South Atlantic Ocean.")</f>
        <v>An island of volcanic origin and a British overseas territory in the South Atlantic Ocean.</v>
      </c>
      <c r="E1483" s="29"/>
      <c r="F1483" s="29"/>
      <c r="G1483" s="29"/>
      <c r="H1483" s="54" t="s">
        <v>19</v>
      </c>
      <c r="I1483" s="54" t="s">
        <v>19</v>
      </c>
      <c r="J1483" s="54" t="s">
        <v>19</v>
      </c>
      <c r="K1483" s="52" t="str">
        <f t="shared" si="74"/>
        <v>Mpox</v>
      </c>
      <c r="M1483" s="55"/>
    </row>
    <row r="1484">
      <c r="A1484" s="29"/>
      <c r="B1484" s="50" t="str">
        <f>IFERROR(__xludf.DUMMYFUNCTION("""COMPUTED_VALUE"""),"Saint Kitts and Nevis                    ")</f>
        <v>Saint Kitts and Nevis                    </v>
      </c>
      <c r="C1484" s="29" t="str">
        <f>IFERROR(__xludf.DUMMYFUNCTION("""COMPUTED_VALUE"""),"GAZ:00006906")</f>
        <v>GAZ:00006906</v>
      </c>
      <c r="D1484"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484" s="29"/>
      <c r="F1484" s="29"/>
      <c r="G1484" s="29"/>
      <c r="H1484" s="54" t="s">
        <v>19</v>
      </c>
      <c r="I1484" s="54" t="s">
        <v>19</v>
      </c>
      <c r="J1484" s="54" t="s">
        <v>19</v>
      </c>
      <c r="K1484" s="52" t="str">
        <f t="shared" si="74"/>
        <v>Mpox</v>
      </c>
      <c r="M1484" s="55"/>
    </row>
    <row r="1485">
      <c r="A1485" s="29"/>
      <c r="B1485" s="50" t="str">
        <f>IFERROR(__xludf.DUMMYFUNCTION("""COMPUTED_VALUE"""),"Saint Lucia                    ")</f>
        <v>Saint Lucia                    </v>
      </c>
      <c r="C1485" s="29" t="str">
        <f>IFERROR(__xludf.DUMMYFUNCTION("""COMPUTED_VALUE"""),"GAZ:00006909")</f>
        <v>GAZ:00006909</v>
      </c>
      <c r="D1485" s="29" t="str">
        <f>IFERROR(__xludf.DUMMYFUNCTION("""COMPUTED_VALUE"""),"An island nation in the eastern Caribbean Sea on the boundary with the Atlantic Ocean.")</f>
        <v>An island nation in the eastern Caribbean Sea on the boundary with the Atlantic Ocean.</v>
      </c>
      <c r="E1485" s="29"/>
      <c r="F1485" s="29"/>
      <c r="G1485" s="29"/>
      <c r="H1485" s="54" t="s">
        <v>19</v>
      </c>
      <c r="I1485" s="54" t="s">
        <v>19</v>
      </c>
      <c r="J1485" s="54" t="s">
        <v>19</v>
      </c>
      <c r="K1485" s="52" t="str">
        <f t="shared" si="74"/>
        <v>Mpox</v>
      </c>
      <c r="M1485" s="55"/>
    </row>
    <row r="1486">
      <c r="A1486" s="29"/>
      <c r="B1486" s="50" t="str">
        <f>IFERROR(__xludf.DUMMYFUNCTION("""COMPUTED_VALUE"""),"Saint Pierre and Miquelon                    ")</f>
        <v>Saint Pierre and Miquelon                    </v>
      </c>
      <c r="C1486" s="29" t="str">
        <f>IFERROR(__xludf.DUMMYFUNCTION("""COMPUTED_VALUE"""),"GAZ:00003942")</f>
        <v>GAZ:00003942</v>
      </c>
      <c r="D1486"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486" s="29"/>
      <c r="F1486" s="29"/>
      <c r="G1486" s="29"/>
      <c r="H1486" s="54" t="s">
        <v>19</v>
      </c>
      <c r="I1486" s="54" t="s">
        <v>19</v>
      </c>
      <c r="J1486" s="54" t="s">
        <v>19</v>
      </c>
      <c r="K1486" s="52" t="str">
        <f t="shared" si="74"/>
        <v>Mpox</v>
      </c>
      <c r="M1486" s="55"/>
    </row>
    <row r="1487">
      <c r="A1487" s="29"/>
      <c r="B1487" s="50" t="str">
        <f>IFERROR(__xludf.DUMMYFUNCTION("""COMPUTED_VALUE"""),"Saint Martin                    ")</f>
        <v>Saint Martin                    </v>
      </c>
      <c r="C1487" s="29" t="str">
        <f>IFERROR(__xludf.DUMMYFUNCTION("""COMPUTED_VALUE"""),"GAZ:00005841")</f>
        <v>GAZ:00005841</v>
      </c>
      <c r="D1487"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487" s="29"/>
      <c r="F1487" s="29"/>
      <c r="G1487" s="29"/>
      <c r="H1487" s="54" t="s">
        <v>19</v>
      </c>
      <c r="I1487" s="54" t="s">
        <v>19</v>
      </c>
      <c r="J1487" s="54" t="s">
        <v>19</v>
      </c>
      <c r="K1487" s="52" t="str">
        <f t="shared" si="74"/>
        <v>Mpox</v>
      </c>
      <c r="M1487" s="55"/>
    </row>
    <row r="1488">
      <c r="A1488" s="29"/>
      <c r="B1488" s="50" t="str">
        <f>IFERROR(__xludf.DUMMYFUNCTION("""COMPUTED_VALUE"""),"Saint Vincent and the Grenadines                    ")</f>
        <v>Saint Vincent and the Grenadines                    </v>
      </c>
      <c r="C1488" s="29" t="str">
        <f>IFERROR(__xludf.DUMMYFUNCTION("""COMPUTED_VALUE"""),"GAZ:02000565")</f>
        <v>GAZ:02000565</v>
      </c>
      <c r="D1488" s="29" t="str">
        <f>IFERROR(__xludf.DUMMYFUNCTION("""COMPUTED_VALUE"""),"An island nation in the Lesser Antilles chain of the Caribbean Sea.")</f>
        <v>An island nation in the Lesser Antilles chain of the Caribbean Sea.</v>
      </c>
      <c r="E1488" s="29"/>
      <c r="F1488" s="29"/>
      <c r="G1488" s="29"/>
      <c r="H1488" s="54" t="s">
        <v>19</v>
      </c>
      <c r="I1488" s="54" t="s">
        <v>19</v>
      </c>
      <c r="J1488" s="54" t="s">
        <v>19</v>
      </c>
      <c r="K1488" s="52" t="str">
        <f t="shared" si="74"/>
        <v>Mpox</v>
      </c>
      <c r="M1488" s="55"/>
    </row>
    <row r="1489">
      <c r="A1489" s="29"/>
      <c r="B1489" s="50" t="str">
        <f>IFERROR(__xludf.DUMMYFUNCTION("""COMPUTED_VALUE"""),"Samoa                    ")</f>
        <v>Samoa                    </v>
      </c>
      <c r="C1489" s="29" t="str">
        <f>IFERROR(__xludf.DUMMYFUNCTION("""COMPUTED_VALUE"""),"GAZ:00006910")</f>
        <v>GAZ:00006910</v>
      </c>
      <c r="D1489"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489" s="29"/>
      <c r="F1489" s="29"/>
      <c r="G1489" s="29"/>
      <c r="H1489" s="54" t="s">
        <v>19</v>
      </c>
      <c r="I1489" s="54" t="s">
        <v>19</v>
      </c>
      <c r="J1489" s="54" t="s">
        <v>19</v>
      </c>
      <c r="K1489" s="52" t="str">
        <f t="shared" si="74"/>
        <v>Mpox</v>
      </c>
      <c r="M1489" s="55"/>
    </row>
    <row r="1490">
      <c r="A1490" s="29"/>
      <c r="B1490" s="50" t="str">
        <f>IFERROR(__xludf.DUMMYFUNCTION("""COMPUTED_VALUE"""),"San Marino                    ")</f>
        <v>San Marino                    </v>
      </c>
      <c r="C1490" s="29" t="str">
        <f>IFERROR(__xludf.DUMMYFUNCTION("""COMPUTED_VALUE"""),"GAZ:00003102")</f>
        <v>GAZ:00003102</v>
      </c>
      <c r="D1490"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490" s="29"/>
      <c r="F1490" s="29"/>
      <c r="G1490" s="29"/>
      <c r="H1490" s="54" t="s">
        <v>19</v>
      </c>
      <c r="I1490" s="54" t="s">
        <v>19</v>
      </c>
      <c r="J1490" s="54" t="s">
        <v>19</v>
      </c>
      <c r="K1490" s="52" t="str">
        <f t="shared" si="74"/>
        <v>Mpox</v>
      </c>
      <c r="M1490" s="55"/>
    </row>
    <row r="1491">
      <c r="A1491" s="29"/>
      <c r="B1491" s="50" t="str">
        <f>IFERROR(__xludf.DUMMYFUNCTION("""COMPUTED_VALUE"""),"Sao Tome and Principe                    ")</f>
        <v>Sao Tome and Principe                    </v>
      </c>
      <c r="C1491" s="29" t="str">
        <f>IFERROR(__xludf.DUMMYFUNCTION("""COMPUTED_VALUE"""),"GAZ:00006927")</f>
        <v>GAZ:00006927</v>
      </c>
      <c r="D1491"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491" s="29"/>
      <c r="F1491" s="29"/>
      <c r="G1491" s="29"/>
      <c r="H1491" s="54" t="s">
        <v>19</v>
      </c>
      <c r="I1491" s="54" t="s">
        <v>19</v>
      </c>
      <c r="J1491" s="54" t="s">
        <v>19</v>
      </c>
      <c r="K1491" s="52" t="str">
        <f t="shared" si="74"/>
        <v>Mpox</v>
      </c>
      <c r="M1491" s="55"/>
    </row>
    <row r="1492">
      <c r="A1492" s="29"/>
      <c r="B1492" s="50" t="str">
        <f>IFERROR(__xludf.DUMMYFUNCTION("""COMPUTED_VALUE"""),"Saudi Arabia                    ")</f>
        <v>Saudi Arabia                    </v>
      </c>
      <c r="C1492" s="29" t="str">
        <f>IFERROR(__xludf.DUMMYFUNCTION("""COMPUTED_VALUE"""),"GAZ:00005279")</f>
        <v>GAZ:00005279</v>
      </c>
      <c r="D1492"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492" s="29"/>
      <c r="F1492" s="29"/>
      <c r="G1492" s="29"/>
      <c r="H1492" s="54" t="s">
        <v>19</v>
      </c>
      <c r="I1492" s="54" t="s">
        <v>19</v>
      </c>
      <c r="J1492" s="54" t="s">
        <v>19</v>
      </c>
      <c r="K1492" s="52" t="str">
        <f t="shared" si="74"/>
        <v>Mpox</v>
      </c>
      <c r="M1492" s="55"/>
    </row>
    <row r="1493">
      <c r="A1493" s="29"/>
      <c r="B1493" s="50" t="str">
        <f>IFERROR(__xludf.DUMMYFUNCTION("""COMPUTED_VALUE"""),"Senegal                    ")</f>
        <v>Senegal                    </v>
      </c>
      <c r="C1493" s="29" t="str">
        <f>IFERROR(__xludf.DUMMYFUNCTION("""COMPUTED_VALUE"""),"GAZ:00000913")</f>
        <v>GAZ:00000913</v>
      </c>
      <c r="D1493"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493" s="29"/>
      <c r="F1493" s="29"/>
      <c r="G1493" s="29"/>
      <c r="H1493" s="54" t="s">
        <v>19</v>
      </c>
      <c r="I1493" s="54" t="s">
        <v>19</v>
      </c>
      <c r="J1493" s="54" t="s">
        <v>19</v>
      </c>
      <c r="K1493" s="52" t="str">
        <f t="shared" si="74"/>
        <v>Mpox</v>
      </c>
      <c r="M1493" s="55"/>
    </row>
    <row r="1494">
      <c r="A1494" s="29"/>
      <c r="B1494" s="50" t="str">
        <f>IFERROR(__xludf.DUMMYFUNCTION("""COMPUTED_VALUE"""),"Serbia                    ")</f>
        <v>Serbia                    </v>
      </c>
      <c r="C1494" s="29" t="str">
        <f>IFERROR(__xludf.DUMMYFUNCTION("""COMPUTED_VALUE"""),"GAZ:00002957")</f>
        <v>GAZ:00002957</v>
      </c>
      <c r="D1494"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494" s="29"/>
      <c r="F1494" s="29"/>
      <c r="G1494" s="29"/>
      <c r="H1494" s="54" t="s">
        <v>19</v>
      </c>
      <c r="I1494" s="54" t="s">
        <v>19</v>
      </c>
      <c r="J1494" s="54" t="s">
        <v>19</v>
      </c>
      <c r="K1494" s="52" t="str">
        <f t="shared" si="74"/>
        <v>Mpox</v>
      </c>
      <c r="M1494" s="55"/>
    </row>
    <row r="1495">
      <c r="A1495" s="29"/>
      <c r="B1495" s="50" t="str">
        <f>IFERROR(__xludf.DUMMYFUNCTION("""COMPUTED_VALUE"""),"Seychelles                    ")</f>
        <v>Seychelles                    </v>
      </c>
      <c r="C1495" s="29" t="str">
        <f>IFERROR(__xludf.DUMMYFUNCTION("""COMPUTED_VALUE"""),"GAZ:00006922")</f>
        <v>GAZ:00006922</v>
      </c>
      <c r="D1495"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495" s="29"/>
      <c r="F1495" s="29"/>
      <c r="G1495" s="29"/>
      <c r="H1495" s="54" t="s">
        <v>19</v>
      </c>
      <c r="I1495" s="54" t="s">
        <v>19</v>
      </c>
      <c r="J1495" s="54" t="s">
        <v>19</v>
      </c>
      <c r="K1495" s="52" t="str">
        <f t="shared" si="74"/>
        <v>Mpox</v>
      </c>
      <c r="M1495" s="55"/>
    </row>
    <row r="1496">
      <c r="A1496" s="29"/>
      <c r="B1496" s="50" t="str">
        <f>IFERROR(__xludf.DUMMYFUNCTION("""COMPUTED_VALUE"""),"Sierra Leone                    ")</f>
        <v>Sierra Leone                    </v>
      </c>
      <c r="C1496" s="29" t="str">
        <f>IFERROR(__xludf.DUMMYFUNCTION("""COMPUTED_VALUE"""),"GAZ:00000914")</f>
        <v>GAZ:00000914</v>
      </c>
      <c r="D1496"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496" s="29"/>
      <c r="F1496" s="29"/>
      <c r="G1496" s="29"/>
      <c r="H1496" s="54" t="s">
        <v>19</v>
      </c>
      <c r="I1496" s="54" t="s">
        <v>19</v>
      </c>
      <c r="J1496" s="54" t="s">
        <v>19</v>
      </c>
      <c r="K1496" s="52" t="str">
        <f t="shared" si="74"/>
        <v>Mpox</v>
      </c>
      <c r="M1496" s="55"/>
    </row>
    <row r="1497">
      <c r="A1497" s="29"/>
      <c r="B1497" s="50" t="str">
        <f>IFERROR(__xludf.DUMMYFUNCTION("""COMPUTED_VALUE"""),"Singapore                    ")</f>
        <v>Singapore                    </v>
      </c>
      <c r="C1497" s="29" t="str">
        <f>IFERROR(__xludf.DUMMYFUNCTION("""COMPUTED_VALUE"""),"GAZ:00003923")</f>
        <v>GAZ:00003923</v>
      </c>
      <c r="D1497"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497" s="29"/>
      <c r="F1497" s="29"/>
      <c r="G1497" s="29"/>
      <c r="H1497" s="54" t="s">
        <v>19</v>
      </c>
      <c r="I1497" s="54" t="s">
        <v>19</v>
      </c>
      <c r="J1497" s="54" t="s">
        <v>19</v>
      </c>
      <c r="K1497" s="52" t="str">
        <f t="shared" si="74"/>
        <v>Mpox</v>
      </c>
      <c r="M1497" s="55"/>
    </row>
    <row r="1498">
      <c r="A1498" s="29"/>
      <c r="B1498" s="50" t="str">
        <f>IFERROR(__xludf.DUMMYFUNCTION("""COMPUTED_VALUE"""),"Sint Maarten                    ")</f>
        <v>Sint Maarten                    </v>
      </c>
      <c r="C1498" s="29" t="str">
        <f>IFERROR(__xludf.DUMMYFUNCTION("""COMPUTED_VALUE"""),"GAZ:00012579")</f>
        <v>GAZ:00012579</v>
      </c>
      <c r="D1498"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498" s="29"/>
      <c r="F1498" s="29"/>
      <c r="G1498" s="29"/>
      <c r="H1498" s="54" t="s">
        <v>19</v>
      </c>
      <c r="I1498" s="54" t="s">
        <v>19</v>
      </c>
      <c r="J1498" s="54" t="s">
        <v>19</v>
      </c>
      <c r="K1498" s="52" t="str">
        <f t="shared" si="74"/>
        <v>Mpox</v>
      </c>
      <c r="M1498" s="55"/>
    </row>
    <row r="1499">
      <c r="A1499" s="29"/>
      <c r="B1499" s="50" t="str">
        <f>IFERROR(__xludf.DUMMYFUNCTION("""COMPUTED_VALUE"""),"Slovakia                    ")</f>
        <v>Slovakia                    </v>
      </c>
      <c r="C1499" s="29" t="str">
        <f>IFERROR(__xludf.DUMMYFUNCTION("""COMPUTED_VALUE"""),"GAZ:00002956")</f>
        <v>GAZ:00002956</v>
      </c>
      <c r="D1499"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499" s="29"/>
      <c r="F1499" s="29"/>
      <c r="G1499" s="29"/>
      <c r="H1499" s="54" t="s">
        <v>19</v>
      </c>
      <c r="I1499" s="54" t="s">
        <v>19</v>
      </c>
      <c r="J1499" s="54" t="s">
        <v>19</v>
      </c>
      <c r="K1499" s="52" t="str">
        <f t="shared" si="74"/>
        <v>Mpox</v>
      </c>
      <c r="M1499" s="55"/>
    </row>
    <row r="1500">
      <c r="A1500" s="29"/>
      <c r="B1500" s="50" t="str">
        <f>IFERROR(__xludf.DUMMYFUNCTION("""COMPUTED_VALUE"""),"Slovenia                    ")</f>
        <v>Slovenia                    </v>
      </c>
      <c r="C1500" s="29" t="str">
        <f>IFERROR(__xludf.DUMMYFUNCTION("""COMPUTED_VALUE"""),"GAZ:00002955")</f>
        <v>GAZ:00002955</v>
      </c>
      <c r="D1500"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500" s="29"/>
      <c r="F1500" s="29"/>
      <c r="G1500" s="29"/>
      <c r="H1500" s="54" t="s">
        <v>19</v>
      </c>
      <c r="I1500" s="54" t="s">
        <v>19</v>
      </c>
      <c r="J1500" s="54" t="s">
        <v>19</v>
      </c>
      <c r="K1500" s="52" t="str">
        <f t="shared" si="74"/>
        <v>Mpox</v>
      </c>
      <c r="M1500" s="55"/>
    </row>
    <row r="1501">
      <c r="A1501" s="29"/>
      <c r="B1501" s="50" t="str">
        <f>IFERROR(__xludf.DUMMYFUNCTION("""COMPUTED_VALUE"""),"Solomon Islands                    ")</f>
        <v>Solomon Islands                    </v>
      </c>
      <c r="C1501" s="29" t="str">
        <f>IFERROR(__xludf.DUMMYFUNCTION("""COMPUTED_VALUE"""),"GAZ:00005275")</f>
        <v>GAZ:00005275</v>
      </c>
      <c r="D1501"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501" s="29"/>
      <c r="F1501" s="29"/>
      <c r="G1501" s="29"/>
      <c r="H1501" s="54" t="s">
        <v>19</v>
      </c>
      <c r="I1501" s="54" t="s">
        <v>19</v>
      </c>
      <c r="J1501" s="54" t="s">
        <v>19</v>
      </c>
      <c r="K1501" s="52" t="str">
        <f t="shared" si="74"/>
        <v>Mpox</v>
      </c>
      <c r="M1501" s="55"/>
    </row>
    <row r="1502">
      <c r="A1502" s="29"/>
      <c r="B1502" s="50" t="str">
        <f>IFERROR(__xludf.DUMMYFUNCTION("""COMPUTED_VALUE"""),"Somalia                    ")</f>
        <v>Somalia                    </v>
      </c>
      <c r="C1502" s="29" t="str">
        <f>IFERROR(__xludf.DUMMYFUNCTION("""COMPUTED_VALUE"""),"GAZ:00001104")</f>
        <v>GAZ:00001104</v>
      </c>
      <c r="D1502"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02" s="29"/>
      <c r="F1502" s="29"/>
      <c r="G1502" s="29"/>
      <c r="H1502" s="54" t="s">
        <v>19</v>
      </c>
      <c r="I1502" s="54" t="s">
        <v>19</v>
      </c>
      <c r="J1502" s="54" t="s">
        <v>19</v>
      </c>
      <c r="K1502" s="52" t="str">
        <f t="shared" si="74"/>
        <v>Mpox</v>
      </c>
      <c r="M1502" s="55"/>
    </row>
    <row r="1503">
      <c r="A1503" s="29"/>
      <c r="B1503" s="50" t="str">
        <f>IFERROR(__xludf.DUMMYFUNCTION("""COMPUTED_VALUE"""),"South Africa                    ")</f>
        <v>South Africa                    </v>
      </c>
      <c r="C1503" s="29" t="str">
        <f>IFERROR(__xludf.DUMMYFUNCTION("""COMPUTED_VALUE"""),"GAZ:00001094")</f>
        <v>GAZ:00001094</v>
      </c>
      <c r="D1503"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03" s="29"/>
      <c r="F1503" s="29"/>
      <c r="G1503" s="29"/>
      <c r="H1503" s="54" t="s">
        <v>19</v>
      </c>
      <c r="I1503" s="54" t="s">
        <v>19</v>
      </c>
      <c r="J1503" s="54" t="s">
        <v>19</v>
      </c>
      <c r="K1503" s="52" t="str">
        <f t="shared" si="74"/>
        <v>Mpox</v>
      </c>
      <c r="M1503" s="55"/>
    </row>
    <row r="1504">
      <c r="A1504" s="29"/>
      <c r="B1504" s="50" t="str">
        <f>IFERROR(__xludf.DUMMYFUNCTION("""COMPUTED_VALUE"""),"South Georgia and the South Sandwich Islands                    ")</f>
        <v>South Georgia and the South Sandwich Islands                    </v>
      </c>
      <c r="C1504" s="29" t="str">
        <f>IFERROR(__xludf.DUMMYFUNCTION("""COMPUTED_VALUE"""),"GAZ:00003990")</f>
        <v>GAZ:00003990</v>
      </c>
      <c r="D1504"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04" s="29"/>
      <c r="F1504" s="29"/>
      <c r="G1504" s="29"/>
      <c r="H1504" s="54" t="s">
        <v>19</v>
      </c>
      <c r="I1504" s="54" t="s">
        <v>19</v>
      </c>
      <c r="J1504" s="54" t="s">
        <v>19</v>
      </c>
      <c r="K1504" s="52" t="str">
        <f t="shared" si="74"/>
        <v>Mpox</v>
      </c>
      <c r="M1504" s="55"/>
    </row>
    <row r="1505">
      <c r="A1505" s="29"/>
      <c r="B1505" s="50" t="str">
        <f>IFERROR(__xludf.DUMMYFUNCTION("""COMPUTED_VALUE"""),"South Korea                    ")</f>
        <v>South Korea                    </v>
      </c>
      <c r="C1505" s="29" t="str">
        <f>IFERROR(__xludf.DUMMYFUNCTION("""COMPUTED_VALUE"""),"GAZ:00002802")</f>
        <v>GAZ:00002802</v>
      </c>
      <c r="D1505"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05" s="29"/>
      <c r="F1505" s="29"/>
      <c r="G1505" s="29"/>
      <c r="H1505" s="54" t="s">
        <v>19</v>
      </c>
      <c r="I1505" s="54" t="s">
        <v>19</v>
      </c>
      <c r="J1505" s="54" t="s">
        <v>19</v>
      </c>
      <c r="K1505" s="52" t="str">
        <f t="shared" si="74"/>
        <v>Mpox</v>
      </c>
      <c r="M1505" s="55"/>
    </row>
    <row r="1506">
      <c r="A1506" s="29"/>
      <c r="B1506" s="50" t="str">
        <f>IFERROR(__xludf.DUMMYFUNCTION("""COMPUTED_VALUE"""),"South Sudan                    ")</f>
        <v>South Sudan                    </v>
      </c>
      <c r="C1506" s="29" t="str">
        <f>IFERROR(__xludf.DUMMYFUNCTION("""COMPUTED_VALUE"""),"GAZ:00233439")</f>
        <v>GAZ:00233439</v>
      </c>
      <c r="D1506"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06" s="29"/>
      <c r="F1506" s="29"/>
      <c r="G1506" s="29"/>
      <c r="H1506" s="54" t="s">
        <v>19</v>
      </c>
      <c r="I1506" s="54" t="s">
        <v>19</v>
      </c>
      <c r="J1506" s="54" t="s">
        <v>19</v>
      </c>
      <c r="K1506" s="52" t="str">
        <f t="shared" si="74"/>
        <v>Mpox</v>
      </c>
      <c r="M1506" s="55"/>
    </row>
    <row r="1507">
      <c r="A1507" s="29"/>
      <c r="B1507" s="50" t="str">
        <f>IFERROR(__xludf.DUMMYFUNCTION("""COMPUTED_VALUE"""),"Spain                    ")</f>
        <v>Spain                    </v>
      </c>
      <c r="C1507" s="29" t="str">
        <f>IFERROR(__xludf.DUMMYFUNCTION("""COMPUTED_VALUE"""),"GAZ:00000591")</f>
        <v>GAZ:00000591</v>
      </c>
      <c r="D1507"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07" s="29"/>
      <c r="F1507" s="29"/>
      <c r="G1507" s="29"/>
      <c r="H1507" s="54" t="s">
        <v>19</v>
      </c>
      <c r="I1507" s="54" t="s">
        <v>19</v>
      </c>
      <c r="J1507" s="54" t="s">
        <v>19</v>
      </c>
      <c r="K1507" s="52" t="str">
        <f t="shared" si="74"/>
        <v>Mpox</v>
      </c>
      <c r="M1507" s="55"/>
    </row>
    <row r="1508">
      <c r="A1508" s="29"/>
      <c r="B1508" s="50" t="str">
        <f>IFERROR(__xludf.DUMMYFUNCTION("""COMPUTED_VALUE"""),"Spratly Islands                    ")</f>
        <v>Spratly Islands                    </v>
      </c>
      <c r="C1508" s="29" t="str">
        <f>IFERROR(__xludf.DUMMYFUNCTION("""COMPUTED_VALUE"""),"GAZ:00010831")</f>
        <v>GAZ:00010831</v>
      </c>
      <c r="D1508"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08" s="29"/>
      <c r="F1508" s="29"/>
      <c r="G1508" s="29"/>
      <c r="H1508" s="54" t="s">
        <v>19</v>
      </c>
      <c r="I1508" s="54" t="s">
        <v>19</v>
      </c>
      <c r="J1508" s="54" t="s">
        <v>19</v>
      </c>
      <c r="K1508" s="52" t="str">
        <f t="shared" si="74"/>
        <v>Mpox</v>
      </c>
      <c r="M1508" s="55"/>
    </row>
    <row r="1509">
      <c r="A1509" s="29"/>
      <c r="B1509" s="50" t="str">
        <f>IFERROR(__xludf.DUMMYFUNCTION("""COMPUTED_VALUE"""),"Sri Lanka                    ")</f>
        <v>Sri Lanka                    </v>
      </c>
      <c r="C1509" s="29" t="str">
        <f>IFERROR(__xludf.DUMMYFUNCTION("""COMPUTED_VALUE"""),"GAZ:00003924")</f>
        <v>GAZ:00003924</v>
      </c>
      <c r="D1509"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09" s="29"/>
      <c r="F1509" s="29"/>
      <c r="G1509" s="29"/>
      <c r="H1509" s="54" t="s">
        <v>19</v>
      </c>
      <c r="I1509" s="54" t="s">
        <v>19</v>
      </c>
      <c r="J1509" s="54" t="s">
        <v>19</v>
      </c>
      <c r="K1509" s="52" t="str">
        <f t="shared" si="74"/>
        <v>Mpox</v>
      </c>
      <c r="M1509" s="55"/>
    </row>
    <row r="1510">
      <c r="A1510" s="29"/>
      <c r="B1510" s="50" t="str">
        <f>IFERROR(__xludf.DUMMYFUNCTION("""COMPUTED_VALUE"""),"State of Palestine                    ")</f>
        <v>State of Palestine                    </v>
      </c>
      <c r="C1510" s="29" t="str">
        <f>IFERROR(__xludf.DUMMYFUNCTION("""COMPUTED_VALUE"""),"GAZ:00002475")</f>
        <v>GAZ:00002475</v>
      </c>
      <c r="D1510"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10" s="29"/>
      <c r="F1510" s="29"/>
      <c r="G1510" s="29"/>
      <c r="H1510" s="54" t="s">
        <v>19</v>
      </c>
      <c r="I1510" s="54" t="s">
        <v>19</v>
      </c>
      <c r="J1510" s="54" t="s">
        <v>19</v>
      </c>
      <c r="K1510" s="52" t="str">
        <f t="shared" si="74"/>
        <v>Mpox</v>
      </c>
      <c r="M1510" s="55"/>
    </row>
    <row r="1511">
      <c r="A1511" s="29"/>
      <c r="B1511" s="50" t="str">
        <f>IFERROR(__xludf.DUMMYFUNCTION("""COMPUTED_VALUE"""),"Sudan                    ")</f>
        <v>Sudan                    </v>
      </c>
      <c r="C1511" s="29" t="str">
        <f>IFERROR(__xludf.DUMMYFUNCTION("""COMPUTED_VALUE"""),"GAZ:00000560")</f>
        <v>GAZ:00000560</v>
      </c>
      <c r="D1511"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11" s="29"/>
      <c r="F1511" s="29"/>
      <c r="G1511" s="29"/>
      <c r="H1511" s="54" t="s">
        <v>19</v>
      </c>
      <c r="I1511" s="54" t="s">
        <v>19</v>
      </c>
      <c r="J1511" s="54" t="s">
        <v>19</v>
      </c>
      <c r="K1511" s="52" t="str">
        <f t="shared" si="74"/>
        <v>Mpox</v>
      </c>
      <c r="M1511" s="55"/>
    </row>
    <row r="1512">
      <c r="A1512" s="29"/>
      <c r="B1512" s="50" t="str">
        <f>IFERROR(__xludf.DUMMYFUNCTION("""COMPUTED_VALUE"""),"Suriname                    ")</f>
        <v>Suriname                    </v>
      </c>
      <c r="C1512" s="29" t="str">
        <f>IFERROR(__xludf.DUMMYFUNCTION("""COMPUTED_VALUE"""),"GAZ:00002525")</f>
        <v>GAZ:00002525</v>
      </c>
      <c r="D1512"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12" s="29"/>
      <c r="F1512" s="29"/>
      <c r="G1512" s="29"/>
      <c r="H1512" s="54" t="s">
        <v>19</v>
      </c>
      <c r="I1512" s="54" t="s">
        <v>19</v>
      </c>
      <c r="J1512" s="54" t="s">
        <v>19</v>
      </c>
      <c r="K1512" s="52" t="str">
        <f t="shared" si="74"/>
        <v>Mpox</v>
      </c>
      <c r="M1512" s="55"/>
    </row>
    <row r="1513">
      <c r="A1513" s="29"/>
      <c r="B1513" s="50" t="str">
        <f>IFERROR(__xludf.DUMMYFUNCTION("""COMPUTED_VALUE"""),"Svalbard                    ")</f>
        <v>Svalbard                    </v>
      </c>
      <c r="C1513" s="29" t="str">
        <f>IFERROR(__xludf.DUMMYFUNCTION("""COMPUTED_VALUE"""),"GAZ:00005396")</f>
        <v>GAZ:00005396</v>
      </c>
      <c r="D1513"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13" s="29"/>
      <c r="F1513" s="29"/>
      <c r="G1513" s="29"/>
      <c r="H1513" s="54" t="s">
        <v>19</v>
      </c>
      <c r="I1513" s="54" t="s">
        <v>19</v>
      </c>
      <c r="J1513" s="54" t="s">
        <v>19</v>
      </c>
      <c r="K1513" s="52" t="str">
        <f t="shared" si="74"/>
        <v>Mpox</v>
      </c>
      <c r="M1513" s="55"/>
    </row>
    <row r="1514">
      <c r="A1514" s="29"/>
      <c r="B1514" s="50" t="str">
        <f>IFERROR(__xludf.DUMMYFUNCTION("""COMPUTED_VALUE"""),"Swaziland                    ")</f>
        <v>Swaziland                    </v>
      </c>
      <c r="C1514" s="29" t="str">
        <f>IFERROR(__xludf.DUMMYFUNCTION("""COMPUTED_VALUE"""),"GAZ:00001099")</f>
        <v>GAZ:00001099</v>
      </c>
      <c r="D1514"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514" s="29"/>
      <c r="F1514" s="29"/>
      <c r="G1514" s="29"/>
      <c r="H1514" s="54" t="s">
        <v>19</v>
      </c>
      <c r="I1514" s="54" t="s">
        <v>19</v>
      </c>
      <c r="J1514" s="54" t="s">
        <v>19</v>
      </c>
      <c r="K1514" s="52" t="str">
        <f t="shared" si="74"/>
        <v>Mpox</v>
      </c>
      <c r="M1514" s="55"/>
    </row>
    <row r="1515">
      <c r="A1515" s="29"/>
      <c r="B1515" s="50" t="str">
        <f>IFERROR(__xludf.DUMMYFUNCTION("""COMPUTED_VALUE"""),"Sweden                    ")</f>
        <v>Sweden                    </v>
      </c>
      <c r="C1515" s="29" t="str">
        <f>IFERROR(__xludf.DUMMYFUNCTION("""COMPUTED_VALUE"""),"GAZ:00002729")</f>
        <v>GAZ:00002729</v>
      </c>
      <c r="D1515"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515" s="29"/>
      <c r="F1515" s="29"/>
      <c r="G1515" s="29"/>
      <c r="H1515" s="54" t="s">
        <v>19</v>
      </c>
      <c r="I1515" s="54" t="s">
        <v>19</v>
      </c>
      <c r="J1515" s="54" t="s">
        <v>19</v>
      </c>
      <c r="K1515" s="52" t="str">
        <f t="shared" si="74"/>
        <v>Mpox</v>
      </c>
      <c r="M1515" s="55"/>
    </row>
    <row r="1516">
      <c r="A1516" s="29"/>
      <c r="B1516" s="50" t="str">
        <f>IFERROR(__xludf.DUMMYFUNCTION("""COMPUTED_VALUE"""),"Switzerland                    ")</f>
        <v>Switzerland                    </v>
      </c>
      <c r="C1516" s="29" t="str">
        <f>IFERROR(__xludf.DUMMYFUNCTION("""COMPUTED_VALUE"""),"GAZ:00002941")</f>
        <v>GAZ:00002941</v>
      </c>
      <c r="D1516"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516" s="29"/>
      <c r="F1516" s="29"/>
      <c r="G1516" s="29"/>
      <c r="H1516" s="54" t="s">
        <v>19</v>
      </c>
      <c r="I1516" s="54" t="s">
        <v>19</v>
      </c>
      <c r="J1516" s="54" t="s">
        <v>19</v>
      </c>
      <c r="K1516" s="52" t="str">
        <f t="shared" si="74"/>
        <v>Mpox</v>
      </c>
      <c r="M1516" s="55"/>
    </row>
    <row r="1517">
      <c r="A1517" s="29"/>
      <c r="B1517" s="50" t="str">
        <f>IFERROR(__xludf.DUMMYFUNCTION("""COMPUTED_VALUE"""),"Syria                    ")</f>
        <v>Syria                    </v>
      </c>
      <c r="C1517" s="29" t="str">
        <f>IFERROR(__xludf.DUMMYFUNCTION("""COMPUTED_VALUE"""),"GAZ:00002474")</f>
        <v>GAZ:00002474</v>
      </c>
      <c r="D1517"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517" s="29"/>
      <c r="F1517" s="29"/>
      <c r="G1517" s="29"/>
      <c r="H1517" s="54" t="s">
        <v>19</v>
      </c>
      <c r="I1517" s="54" t="s">
        <v>19</v>
      </c>
      <c r="J1517" s="54" t="s">
        <v>19</v>
      </c>
      <c r="K1517" s="52" t="str">
        <f t="shared" si="74"/>
        <v>Mpox</v>
      </c>
      <c r="M1517" s="55"/>
    </row>
    <row r="1518">
      <c r="A1518" s="29"/>
      <c r="B1518" s="50" t="str">
        <f>IFERROR(__xludf.DUMMYFUNCTION("""COMPUTED_VALUE"""),"Taiwan                    ")</f>
        <v>Taiwan                    </v>
      </c>
      <c r="C1518" s="29" t="str">
        <f>IFERROR(__xludf.DUMMYFUNCTION("""COMPUTED_VALUE"""),"GAZ:00005341")</f>
        <v>GAZ:00005341</v>
      </c>
      <c r="D1518"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518" s="29"/>
      <c r="F1518" s="29"/>
      <c r="G1518" s="29"/>
      <c r="H1518" s="54" t="s">
        <v>19</v>
      </c>
      <c r="I1518" s="54" t="s">
        <v>19</v>
      </c>
      <c r="J1518" s="54" t="s">
        <v>19</v>
      </c>
      <c r="K1518" s="52" t="str">
        <f t="shared" si="74"/>
        <v>Mpox</v>
      </c>
      <c r="M1518" s="55"/>
    </row>
    <row r="1519">
      <c r="A1519" s="29"/>
      <c r="B1519" s="50" t="str">
        <f>IFERROR(__xludf.DUMMYFUNCTION("""COMPUTED_VALUE"""),"Tajikistan                    ")</f>
        <v>Tajikistan                    </v>
      </c>
      <c r="C1519" s="29" t="str">
        <f>IFERROR(__xludf.DUMMYFUNCTION("""COMPUTED_VALUE"""),"GAZ:00006912")</f>
        <v>GAZ:00006912</v>
      </c>
      <c r="D1519"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519" s="29"/>
      <c r="F1519" s="29"/>
      <c r="G1519" s="29"/>
      <c r="H1519" s="54" t="s">
        <v>19</v>
      </c>
      <c r="I1519" s="54" t="s">
        <v>19</v>
      </c>
      <c r="J1519" s="54" t="s">
        <v>19</v>
      </c>
      <c r="K1519" s="52" t="str">
        <f t="shared" si="74"/>
        <v>Mpox</v>
      </c>
      <c r="M1519" s="55"/>
    </row>
    <row r="1520">
      <c r="A1520" s="29"/>
      <c r="B1520" s="50" t="str">
        <f>IFERROR(__xludf.DUMMYFUNCTION("""COMPUTED_VALUE"""),"Tanzania                    ")</f>
        <v>Tanzania                    </v>
      </c>
      <c r="C1520" s="29" t="str">
        <f>IFERROR(__xludf.DUMMYFUNCTION("""COMPUTED_VALUE"""),"GAZ:00001103")</f>
        <v>GAZ:00001103</v>
      </c>
      <c r="D1520"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520" s="29"/>
      <c r="F1520" s="29"/>
      <c r="G1520" s="29"/>
      <c r="H1520" s="54" t="s">
        <v>19</v>
      </c>
      <c r="I1520" s="54" t="s">
        <v>19</v>
      </c>
      <c r="J1520" s="54" t="s">
        <v>19</v>
      </c>
      <c r="K1520" s="52" t="str">
        <f t="shared" si="74"/>
        <v>Mpox</v>
      </c>
      <c r="M1520" s="55"/>
    </row>
    <row r="1521">
      <c r="A1521" s="29"/>
      <c r="B1521" s="50" t="str">
        <f>IFERROR(__xludf.DUMMYFUNCTION("""COMPUTED_VALUE"""),"Thailand                    ")</f>
        <v>Thailand                    </v>
      </c>
      <c r="C1521" s="29" t="str">
        <f>IFERROR(__xludf.DUMMYFUNCTION("""COMPUTED_VALUE"""),"GAZ:00003744")</f>
        <v>GAZ:00003744</v>
      </c>
      <c r="D1521"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521" s="29"/>
      <c r="F1521" s="29"/>
      <c r="G1521" s="29"/>
      <c r="H1521" s="54" t="s">
        <v>19</v>
      </c>
      <c r="I1521" s="54" t="s">
        <v>19</v>
      </c>
      <c r="J1521" s="54" t="s">
        <v>19</v>
      </c>
      <c r="K1521" s="52" t="str">
        <f t="shared" si="74"/>
        <v>Mpox</v>
      </c>
      <c r="M1521" s="55"/>
    </row>
    <row r="1522">
      <c r="A1522" s="29"/>
      <c r="B1522" s="50" t="str">
        <f>IFERROR(__xludf.DUMMYFUNCTION("""COMPUTED_VALUE"""),"Timor-Leste                    ")</f>
        <v>Timor-Leste                    </v>
      </c>
      <c r="C1522" s="29" t="str">
        <f>IFERROR(__xludf.DUMMYFUNCTION("""COMPUTED_VALUE"""),"GAZ:00006913")</f>
        <v>GAZ:00006913</v>
      </c>
      <c r="D1522"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522" s="29"/>
      <c r="F1522" s="29"/>
      <c r="G1522" s="29"/>
      <c r="H1522" s="54" t="s">
        <v>19</v>
      </c>
      <c r="I1522" s="54" t="s">
        <v>19</v>
      </c>
      <c r="J1522" s="54" t="s">
        <v>19</v>
      </c>
      <c r="K1522" s="52" t="str">
        <f t="shared" si="74"/>
        <v>Mpox</v>
      </c>
      <c r="M1522" s="55"/>
    </row>
    <row r="1523">
      <c r="A1523" s="29"/>
      <c r="B1523" s="50" t="str">
        <f>IFERROR(__xludf.DUMMYFUNCTION("""COMPUTED_VALUE"""),"Togo                    ")</f>
        <v>Togo                    </v>
      </c>
      <c r="C1523" s="29" t="str">
        <f>IFERROR(__xludf.DUMMYFUNCTION("""COMPUTED_VALUE"""),"GAZ:00000915")</f>
        <v>GAZ:00000915</v>
      </c>
      <c r="D1523"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523" s="29"/>
      <c r="F1523" s="29"/>
      <c r="G1523" s="29"/>
      <c r="H1523" s="54" t="s">
        <v>19</v>
      </c>
      <c r="I1523" s="54" t="s">
        <v>19</v>
      </c>
      <c r="J1523" s="54" t="s">
        <v>19</v>
      </c>
      <c r="K1523" s="52" t="str">
        <f t="shared" si="74"/>
        <v>Mpox</v>
      </c>
      <c r="M1523" s="55"/>
    </row>
    <row r="1524">
      <c r="A1524" s="29"/>
      <c r="B1524" s="50" t="str">
        <f>IFERROR(__xludf.DUMMYFUNCTION("""COMPUTED_VALUE"""),"Tokelau                    ")</f>
        <v>Tokelau                    </v>
      </c>
      <c r="C1524" s="29" t="str">
        <f>IFERROR(__xludf.DUMMYFUNCTION("""COMPUTED_VALUE"""),"GAZ:00260188")</f>
        <v>GAZ:00260188</v>
      </c>
      <c r="D1524"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524" s="29"/>
      <c r="F1524" s="29"/>
      <c r="G1524" s="29"/>
      <c r="H1524" s="54" t="s">
        <v>19</v>
      </c>
      <c r="I1524" s="54" t="s">
        <v>19</v>
      </c>
      <c r="J1524" s="54" t="s">
        <v>19</v>
      </c>
      <c r="K1524" s="52" t="str">
        <f t="shared" si="74"/>
        <v>Mpox</v>
      </c>
      <c r="M1524" s="55"/>
    </row>
    <row r="1525">
      <c r="A1525" s="29"/>
      <c r="B1525" s="50" t="str">
        <f>IFERROR(__xludf.DUMMYFUNCTION("""COMPUTED_VALUE"""),"Tonga                    ")</f>
        <v>Tonga                    </v>
      </c>
      <c r="C1525" s="29" t="str">
        <f>IFERROR(__xludf.DUMMYFUNCTION("""COMPUTED_VALUE"""),"GAZ:00006916")</f>
        <v>GAZ:00006916</v>
      </c>
      <c r="D1525"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525" s="29"/>
      <c r="F1525" s="29"/>
      <c r="G1525" s="29"/>
      <c r="H1525" s="54" t="s">
        <v>19</v>
      </c>
      <c r="I1525" s="54" t="s">
        <v>19</v>
      </c>
      <c r="J1525" s="54" t="s">
        <v>19</v>
      </c>
      <c r="K1525" s="52" t="str">
        <f t="shared" si="74"/>
        <v>Mpox</v>
      </c>
      <c r="M1525" s="55"/>
    </row>
    <row r="1526">
      <c r="A1526" s="29"/>
      <c r="B1526" s="50" t="str">
        <f>IFERROR(__xludf.DUMMYFUNCTION("""COMPUTED_VALUE"""),"Trinidad and Tobago                    ")</f>
        <v>Trinidad and Tobago                    </v>
      </c>
      <c r="C1526" s="29" t="str">
        <f>IFERROR(__xludf.DUMMYFUNCTION("""COMPUTED_VALUE"""),"GAZ:00003767")</f>
        <v>GAZ:00003767</v>
      </c>
      <c r="D1526"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526" s="29"/>
      <c r="F1526" s="29"/>
      <c r="G1526" s="29"/>
      <c r="H1526" s="54" t="s">
        <v>19</v>
      </c>
      <c r="I1526" s="54" t="s">
        <v>19</v>
      </c>
      <c r="J1526" s="54" t="s">
        <v>19</v>
      </c>
      <c r="K1526" s="52" t="str">
        <f t="shared" si="74"/>
        <v>Mpox</v>
      </c>
      <c r="M1526" s="55"/>
    </row>
    <row r="1527">
      <c r="A1527" s="29"/>
      <c r="B1527" s="50" t="str">
        <f>IFERROR(__xludf.DUMMYFUNCTION("""COMPUTED_VALUE"""),"Tromelin Island                    ")</f>
        <v>Tromelin Island                    </v>
      </c>
      <c r="C1527" s="29" t="str">
        <f>IFERROR(__xludf.DUMMYFUNCTION("""COMPUTED_VALUE"""),"GAZ:00005812")</f>
        <v>GAZ:00005812</v>
      </c>
      <c r="D1527"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527" s="29"/>
      <c r="F1527" s="29"/>
      <c r="G1527" s="29"/>
      <c r="H1527" s="54" t="s">
        <v>19</v>
      </c>
      <c r="I1527" s="54" t="s">
        <v>19</v>
      </c>
      <c r="J1527" s="54" t="s">
        <v>19</v>
      </c>
      <c r="K1527" s="52" t="str">
        <f t="shared" si="74"/>
        <v>Mpox</v>
      </c>
      <c r="M1527" s="55"/>
    </row>
    <row r="1528">
      <c r="A1528" s="29"/>
      <c r="B1528" s="50" t="str">
        <f>IFERROR(__xludf.DUMMYFUNCTION("""COMPUTED_VALUE"""),"Tunisia                    ")</f>
        <v>Tunisia                    </v>
      </c>
      <c r="C1528" s="29" t="str">
        <f>IFERROR(__xludf.DUMMYFUNCTION("""COMPUTED_VALUE"""),"GAZ:00000562")</f>
        <v>GAZ:00000562</v>
      </c>
      <c r="D1528"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528" s="29"/>
      <c r="F1528" s="29"/>
      <c r="G1528" s="29"/>
      <c r="H1528" s="54" t="s">
        <v>19</v>
      </c>
      <c r="I1528" s="54" t="s">
        <v>19</v>
      </c>
      <c r="J1528" s="54" t="s">
        <v>19</v>
      </c>
      <c r="K1528" s="52" t="str">
        <f t="shared" si="74"/>
        <v>Mpox</v>
      </c>
      <c r="M1528" s="55"/>
    </row>
    <row r="1529">
      <c r="A1529" s="29"/>
      <c r="B1529" s="50" t="str">
        <f>IFERROR(__xludf.DUMMYFUNCTION("""COMPUTED_VALUE"""),"Turkey                    ")</f>
        <v>Turkey                    </v>
      </c>
      <c r="C1529" s="29" t="str">
        <f>IFERROR(__xludf.DUMMYFUNCTION("""COMPUTED_VALUE"""),"GAZ:00000558")</f>
        <v>GAZ:00000558</v>
      </c>
      <c r="D1529"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529" s="29"/>
      <c r="F1529" s="29"/>
      <c r="G1529" s="29"/>
      <c r="H1529" s="54" t="s">
        <v>19</v>
      </c>
      <c r="I1529" s="54" t="s">
        <v>19</v>
      </c>
      <c r="J1529" s="54" t="s">
        <v>19</v>
      </c>
      <c r="K1529" s="52" t="str">
        <f t="shared" si="74"/>
        <v>Mpox</v>
      </c>
      <c r="M1529" s="55"/>
    </row>
    <row r="1530">
      <c r="A1530" s="29"/>
      <c r="B1530" s="50" t="str">
        <f>IFERROR(__xludf.DUMMYFUNCTION("""COMPUTED_VALUE"""),"Turkmenistan                    ")</f>
        <v>Turkmenistan                    </v>
      </c>
      <c r="C1530" s="29" t="str">
        <f>IFERROR(__xludf.DUMMYFUNCTION("""COMPUTED_VALUE"""),"GAZ:00005018")</f>
        <v>GAZ:00005018</v>
      </c>
      <c r="D1530"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530" s="29"/>
      <c r="F1530" s="29"/>
      <c r="G1530" s="29"/>
      <c r="H1530" s="54" t="s">
        <v>19</v>
      </c>
      <c r="I1530" s="54" t="s">
        <v>19</v>
      </c>
      <c r="J1530" s="54" t="s">
        <v>19</v>
      </c>
      <c r="K1530" s="52" t="str">
        <f t="shared" si="74"/>
        <v>Mpox</v>
      </c>
      <c r="M1530" s="55"/>
    </row>
    <row r="1531">
      <c r="A1531" s="29"/>
      <c r="B1531" s="50" t="str">
        <f>IFERROR(__xludf.DUMMYFUNCTION("""COMPUTED_VALUE"""),"Turks and Caicos Islands                    ")</f>
        <v>Turks and Caicos Islands                    </v>
      </c>
      <c r="C1531" s="29" t="str">
        <f>IFERROR(__xludf.DUMMYFUNCTION("""COMPUTED_VALUE"""),"GAZ:00003955")</f>
        <v>GAZ:00003955</v>
      </c>
      <c r="D1531"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531" s="29"/>
      <c r="F1531" s="29"/>
      <c r="G1531" s="29"/>
      <c r="H1531" s="54" t="s">
        <v>19</v>
      </c>
      <c r="I1531" s="54" t="s">
        <v>19</v>
      </c>
      <c r="J1531" s="54" t="s">
        <v>19</v>
      </c>
      <c r="K1531" s="52" t="str">
        <f t="shared" si="74"/>
        <v>Mpox</v>
      </c>
      <c r="M1531" s="55"/>
    </row>
    <row r="1532">
      <c r="A1532" s="29"/>
      <c r="B1532" s="50" t="str">
        <f>IFERROR(__xludf.DUMMYFUNCTION("""COMPUTED_VALUE"""),"Tuvalu                    ")</f>
        <v>Tuvalu                    </v>
      </c>
      <c r="C1532" s="29" t="str">
        <f>IFERROR(__xludf.DUMMYFUNCTION("""COMPUTED_VALUE"""),"GAZ:00009715")</f>
        <v>GAZ:00009715</v>
      </c>
      <c r="D1532" s="29" t="str">
        <f>IFERROR(__xludf.DUMMYFUNCTION("""COMPUTED_VALUE"""),"A Polynesian island nation located in the Pacific Ocean midway between Hawaii and Australia.")</f>
        <v>A Polynesian island nation located in the Pacific Ocean midway between Hawaii and Australia.</v>
      </c>
      <c r="E1532" s="29"/>
      <c r="F1532" s="29"/>
      <c r="G1532" s="29"/>
      <c r="H1532" s="54" t="s">
        <v>19</v>
      </c>
      <c r="I1532" s="54" t="s">
        <v>19</v>
      </c>
      <c r="J1532" s="54" t="s">
        <v>19</v>
      </c>
      <c r="K1532" s="52" t="str">
        <f t="shared" si="74"/>
        <v>Mpox</v>
      </c>
      <c r="M1532" s="55"/>
    </row>
    <row r="1533">
      <c r="A1533" s="29"/>
      <c r="B1533" s="50" t="str">
        <f>IFERROR(__xludf.DUMMYFUNCTION("""COMPUTED_VALUE"""),"United States of America                    ")</f>
        <v>United States of America                    </v>
      </c>
      <c r="C1533" s="29" t="str">
        <f>IFERROR(__xludf.DUMMYFUNCTION("""COMPUTED_VALUE"""),"GAZ:00002459")</f>
        <v>GAZ:00002459</v>
      </c>
      <c r="D1533"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533" s="29"/>
      <c r="F1533" s="29"/>
      <c r="G1533" s="29"/>
      <c r="H1533" s="54" t="s">
        <v>19</v>
      </c>
      <c r="I1533" s="54" t="s">
        <v>19</v>
      </c>
      <c r="J1533" s="54" t="s">
        <v>19</v>
      </c>
      <c r="K1533" s="52" t="str">
        <f t="shared" si="74"/>
        <v>Mpox</v>
      </c>
      <c r="M1533" s="55"/>
    </row>
    <row r="1534">
      <c r="A1534" s="29"/>
      <c r="B1534" s="50" t="str">
        <f>IFERROR(__xludf.DUMMYFUNCTION("""COMPUTED_VALUE"""),"Uganda                    ")</f>
        <v>Uganda                    </v>
      </c>
      <c r="C1534" s="29" t="str">
        <f>IFERROR(__xludf.DUMMYFUNCTION("""COMPUTED_VALUE"""),"GAZ:00001102")</f>
        <v>GAZ:00001102</v>
      </c>
      <c r="D1534"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534" s="29"/>
      <c r="F1534" s="29"/>
      <c r="G1534" s="29"/>
      <c r="H1534" s="54" t="s">
        <v>19</v>
      </c>
      <c r="I1534" s="54" t="s">
        <v>19</v>
      </c>
      <c r="J1534" s="54" t="s">
        <v>19</v>
      </c>
      <c r="K1534" s="52" t="str">
        <f t="shared" si="74"/>
        <v>Mpox</v>
      </c>
      <c r="M1534" s="55"/>
    </row>
    <row r="1535">
      <c r="A1535" s="29"/>
      <c r="B1535" s="50" t="str">
        <f>IFERROR(__xludf.DUMMYFUNCTION("""COMPUTED_VALUE"""),"Ukraine                    ")</f>
        <v>Ukraine                    </v>
      </c>
      <c r="C1535" s="29" t="str">
        <f>IFERROR(__xludf.DUMMYFUNCTION("""COMPUTED_VALUE"""),"GAZ:00002724")</f>
        <v>GAZ:00002724</v>
      </c>
      <c r="D1535"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535" s="29"/>
      <c r="F1535" s="29"/>
      <c r="G1535" s="29"/>
      <c r="H1535" s="54" t="s">
        <v>19</v>
      </c>
      <c r="I1535" s="54" t="s">
        <v>19</v>
      </c>
      <c r="J1535" s="54" t="s">
        <v>19</v>
      </c>
      <c r="K1535" s="52" t="str">
        <f t="shared" si="74"/>
        <v>Mpox</v>
      </c>
      <c r="M1535" s="55"/>
    </row>
    <row r="1536">
      <c r="A1536" s="29"/>
      <c r="B1536" s="50" t="str">
        <f>IFERROR(__xludf.DUMMYFUNCTION("""COMPUTED_VALUE"""),"United Arab Emirates                    ")</f>
        <v>United Arab Emirates                    </v>
      </c>
      <c r="C1536" s="29" t="str">
        <f>IFERROR(__xludf.DUMMYFUNCTION("""COMPUTED_VALUE"""),"GAZ:00005282")</f>
        <v>GAZ:00005282</v>
      </c>
      <c r="D1536"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536" s="29"/>
      <c r="F1536" s="29"/>
      <c r="G1536" s="29"/>
      <c r="H1536" s="54" t="s">
        <v>19</v>
      </c>
      <c r="I1536" s="54" t="s">
        <v>19</v>
      </c>
      <c r="J1536" s="54" t="s">
        <v>19</v>
      </c>
      <c r="K1536" s="52" t="str">
        <f t="shared" si="74"/>
        <v>Mpox</v>
      </c>
      <c r="M1536" s="55"/>
    </row>
    <row r="1537">
      <c r="A1537" s="29"/>
      <c r="B1537" s="50" t="str">
        <f>IFERROR(__xludf.DUMMYFUNCTION("""COMPUTED_VALUE"""),"United Kingdom                    ")</f>
        <v>United Kingdom                    </v>
      </c>
      <c r="C1537" s="29" t="str">
        <f>IFERROR(__xludf.DUMMYFUNCTION("""COMPUTED_VALUE"""),"GAZ:00002637")</f>
        <v>GAZ:00002637</v>
      </c>
      <c r="D1537"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537" s="29"/>
      <c r="F1537" s="29"/>
      <c r="G1537" s="29"/>
      <c r="H1537" s="54" t="s">
        <v>19</v>
      </c>
      <c r="I1537" s="54" t="s">
        <v>19</v>
      </c>
      <c r="J1537" s="54" t="s">
        <v>19</v>
      </c>
      <c r="K1537" s="52" t="str">
        <f t="shared" si="74"/>
        <v>Mpox</v>
      </c>
      <c r="M1537" s="55"/>
    </row>
    <row r="1538">
      <c r="A1538" s="29"/>
      <c r="B1538" s="50" t="str">
        <f>IFERROR(__xludf.DUMMYFUNCTION("""COMPUTED_VALUE"""),"Uruguay                    ")</f>
        <v>Uruguay                    </v>
      </c>
      <c r="C1538" s="29" t="str">
        <f>IFERROR(__xludf.DUMMYFUNCTION("""COMPUTED_VALUE"""),"GAZ:00002930")</f>
        <v>GAZ:00002930</v>
      </c>
      <c r="D1538"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538" s="29"/>
      <c r="F1538" s="29"/>
      <c r="G1538" s="29"/>
      <c r="H1538" s="54" t="s">
        <v>19</v>
      </c>
      <c r="I1538" s="54" t="s">
        <v>19</v>
      </c>
      <c r="J1538" s="54" t="s">
        <v>19</v>
      </c>
      <c r="K1538" s="52" t="str">
        <f t="shared" si="74"/>
        <v>Mpox</v>
      </c>
      <c r="M1538" s="55"/>
    </row>
    <row r="1539">
      <c r="A1539" s="29"/>
      <c r="B1539" s="50" t="str">
        <f>IFERROR(__xludf.DUMMYFUNCTION("""COMPUTED_VALUE"""),"Uzbekistan                    ")</f>
        <v>Uzbekistan                    </v>
      </c>
      <c r="C1539" s="29" t="str">
        <f>IFERROR(__xludf.DUMMYFUNCTION("""COMPUTED_VALUE"""),"GAZ:00004979")</f>
        <v>GAZ:00004979</v>
      </c>
      <c r="D1539"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539" s="29"/>
      <c r="F1539" s="29"/>
      <c r="G1539" s="29"/>
      <c r="H1539" s="54" t="s">
        <v>19</v>
      </c>
      <c r="I1539" s="54" t="s">
        <v>19</v>
      </c>
      <c r="J1539" s="54" t="s">
        <v>19</v>
      </c>
      <c r="K1539" s="52" t="str">
        <f t="shared" si="74"/>
        <v>Mpox</v>
      </c>
      <c r="M1539" s="55"/>
    </row>
    <row r="1540">
      <c r="A1540" s="29"/>
      <c r="B1540" s="50" t="str">
        <f>IFERROR(__xludf.DUMMYFUNCTION("""COMPUTED_VALUE"""),"Vanuatu                    ")</f>
        <v>Vanuatu                    </v>
      </c>
      <c r="C1540" s="29" t="str">
        <f>IFERROR(__xludf.DUMMYFUNCTION("""COMPUTED_VALUE"""),"GAZ:00006918")</f>
        <v>GAZ:00006918</v>
      </c>
      <c r="D1540"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540" s="29"/>
      <c r="F1540" s="29"/>
      <c r="G1540" s="29"/>
      <c r="H1540" s="54" t="s">
        <v>19</v>
      </c>
      <c r="I1540" s="54" t="s">
        <v>19</v>
      </c>
      <c r="J1540" s="54" t="s">
        <v>19</v>
      </c>
      <c r="K1540" s="52" t="str">
        <f t="shared" si="74"/>
        <v>Mpox</v>
      </c>
      <c r="M1540" s="55"/>
    </row>
    <row r="1541">
      <c r="A1541" s="29"/>
      <c r="B1541" s="50" t="str">
        <f>IFERROR(__xludf.DUMMYFUNCTION("""COMPUTED_VALUE"""),"Venezuela                    ")</f>
        <v>Venezuela                    </v>
      </c>
      <c r="C1541" s="29" t="str">
        <f>IFERROR(__xludf.DUMMYFUNCTION("""COMPUTED_VALUE"""),"GAZ:00002931")</f>
        <v>GAZ:00002931</v>
      </c>
      <c r="D1541"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541" s="29"/>
      <c r="F1541" s="29"/>
      <c r="G1541" s="29"/>
      <c r="H1541" s="54" t="s">
        <v>19</v>
      </c>
      <c r="I1541" s="54" t="s">
        <v>19</v>
      </c>
      <c r="J1541" s="54" t="s">
        <v>19</v>
      </c>
      <c r="K1541" s="52" t="str">
        <f t="shared" si="74"/>
        <v>Mpox</v>
      </c>
      <c r="M1541" s="55"/>
    </row>
    <row r="1542">
      <c r="A1542" s="29"/>
      <c r="B1542" s="50" t="str">
        <f>IFERROR(__xludf.DUMMYFUNCTION("""COMPUTED_VALUE"""),"Viet Nam                    ")</f>
        <v>Viet Nam                    </v>
      </c>
      <c r="C1542" s="29" t="str">
        <f>IFERROR(__xludf.DUMMYFUNCTION("""COMPUTED_VALUE"""),"GAZ:00003756")</f>
        <v>GAZ:00003756</v>
      </c>
      <c r="D1542"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542" s="29"/>
      <c r="F1542" s="29"/>
      <c r="G1542" s="29"/>
      <c r="H1542" s="54" t="s">
        <v>19</v>
      </c>
      <c r="I1542" s="54" t="s">
        <v>19</v>
      </c>
      <c r="J1542" s="54" t="s">
        <v>19</v>
      </c>
      <c r="K1542" s="52" t="str">
        <f t="shared" si="74"/>
        <v>Mpox</v>
      </c>
      <c r="M1542" s="55"/>
    </row>
    <row r="1543">
      <c r="A1543" s="29"/>
      <c r="B1543" s="50" t="str">
        <f>IFERROR(__xludf.DUMMYFUNCTION("""COMPUTED_VALUE"""),"Virgin Islands                    ")</f>
        <v>Virgin Islands                    </v>
      </c>
      <c r="C1543" s="29" t="str">
        <f>IFERROR(__xludf.DUMMYFUNCTION("""COMPUTED_VALUE"""),"GAZ:00003959")</f>
        <v>GAZ:00003959</v>
      </c>
      <c r="D1543"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543" s="29"/>
      <c r="F1543" s="29"/>
      <c r="G1543" s="29"/>
      <c r="H1543" s="54" t="s">
        <v>19</v>
      </c>
      <c r="I1543" s="54" t="s">
        <v>19</v>
      </c>
      <c r="J1543" s="54" t="s">
        <v>19</v>
      </c>
      <c r="K1543" s="52" t="str">
        <f t="shared" si="74"/>
        <v>Mpox</v>
      </c>
      <c r="M1543" s="55"/>
    </row>
    <row r="1544">
      <c r="A1544" s="29"/>
      <c r="B1544" s="50" t="str">
        <f>IFERROR(__xludf.DUMMYFUNCTION("""COMPUTED_VALUE"""),"Wake Island                    ")</f>
        <v>Wake Island                    </v>
      </c>
      <c r="C1544" s="29" t="str">
        <f>IFERROR(__xludf.DUMMYFUNCTION("""COMPUTED_VALUE"""),"GAZ:00007111")</f>
        <v>GAZ:00007111</v>
      </c>
      <c r="D1544"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544" s="29"/>
      <c r="F1544" s="29"/>
      <c r="G1544" s="29"/>
      <c r="H1544" s="54" t="s">
        <v>19</v>
      </c>
      <c r="I1544" s="54" t="s">
        <v>19</v>
      </c>
      <c r="J1544" s="54" t="s">
        <v>19</v>
      </c>
      <c r="K1544" s="52" t="str">
        <f t="shared" si="74"/>
        <v>Mpox</v>
      </c>
      <c r="M1544" s="55"/>
    </row>
    <row r="1545">
      <c r="A1545" s="29"/>
      <c r="B1545" s="50" t="str">
        <f>IFERROR(__xludf.DUMMYFUNCTION("""COMPUTED_VALUE"""),"Wallis and Futuna                    ")</f>
        <v>Wallis and Futuna                    </v>
      </c>
      <c r="C1545" s="29" t="str">
        <f>IFERROR(__xludf.DUMMYFUNCTION("""COMPUTED_VALUE"""),"GAZ:00007191")</f>
        <v>GAZ:00007191</v>
      </c>
      <c r="D1545"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545" s="29"/>
      <c r="F1545" s="29"/>
      <c r="G1545" s="29"/>
      <c r="H1545" s="54" t="s">
        <v>19</v>
      </c>
      <c r="I1545" s="54" t="s">
        <v>19</v>
      </c>
      <c r="J1545" s="54" t="s">
        <v>19</v>
      </c>
      <c r="K1545" s="52" t="str">
        <f t="shared" si="74"/>
        <v>Mpox</v>
      </c>
      <c r="M1545" s="55"/>
    </row>
    <row r="1546">
      <c r="A1546" s="29"/>
      <c r="B1546" s="50" t="str">
        <f>IFERROR(__xludf.DUMMYFUNCTION("""COMPUTED_VALUE"""),"West Bank                    ")</f>
        <v>West Bank                    </v>
      </c>
      <c r="C1546" s="29" t="str">
        <f>IFERROR(__xludf.DUMMYFUNCTION("""COMPUTED_VALUE"""),"GAZ:00009572")</f>
        <v>GAZ:00009572</v>
      </c>
      <c r="D1546"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546" s="29"/>
      <c r="F1546" s="29"/>
      <c r="G1546" s="29"/>
      <c r="H1546" s="54" t="s">
        <v>19</v>
      </c>
      <c r="I1546" s="54" t="s">
        <v>19</v>
      </c>
      <c r="J1546" s="54" t="s">
        <v>19</v>
      </c>
      <c r="K1546" s="52" t="str">
        <f t="shared" si="74"/>
        <v>Mpox</v>
      </c>
      <c r="M1546" s="55"/>
    </row>
    <row r="1547">
      <c r="A1547" s="29"/>
      <c r="B1547" s="50" t="str">
        <f>IFERROR(__xludf.DUMMYFUNCTION("""COMPUTED_VALUE"""),"Western Sahara                    ")</f>
        <v>Western Sahara                    </v>
      </c>
      <c r="C1547" s="29" t="str">
        <f>IFERROR(__xludf.DUMMYFUNCTION("""COMPUTED_VALUE"""),"GAZ:00000564")</f>
        <v>GAZ:00000564</v>
      </c>
      <c r="D1547"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547" s="29"/>
      <c r="F1547" s="29"/>
      <c r="G1547" s="29"/>
      <c r="H1547" s="54" t="s">
        <v>19</v>
      </c>
      <c r="I1547" s="54" t="s">
        <v>19</v>
      </c>
      <c r="J1547" s="54" t="s">
        <v>19</v>
      </c>
      <c r="K1547" s="52" t="str">
        <f t="shared" si="74"/>
        <v>Mpox</v>
      </c>
      <c r="M1547" s="55"/>
    </row>
    <row r="1548">
      <c r="A1548" s="29"/>
      <c r="B1548" s="50" t="str">
        <f>IFERROR(__xludf.DUMMYFUNCTION("""COMPUTED_VALUE"""),"Yemen                    ")</f>
        <v>Yemen                    </v>
      </c>
      <c r="C1548" s="29" t="str">
        <f>IFERROR(__xludf.DUMMYFUNCTION("""COMPUTED_VALUE"""),"GAZ:00005284")</f>
        <v>GAZ:00005284</v>
      </c>
      <c r="D1548"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548" s="29"/>
      <c r="F1548" s="29"/>
      <c r="G1548" s="29"/>
      <c r="H1548" s="54" t="s">
        <v>19</v>
      </c>
      <c r="I1548" s="54" t="s">
        <v>19</v>
      </c>
      <c r="J1548" s="54" t="s">
        <v>19</v>
      </c>
      <c r="K1548" s="52" t="str">
        <f t="shared" si="74"/>
        <v>Mpox</v>
      </c>
      <c r="M1548" s="55"/>
    </row>
    <row r="1549">
      <c r="A1549" s="29"/>
      <c r="B1549" s="50" t="str">
        <f>IFERROR(__xludf.DUMMYFUNCTION("""COMPUTED_VALUE"""),"Zambia                    ")</f>
        <v>Zambia                    </v>
      </c>
      <c r="C1549" s="29" t="str">
        <f>IFERROR(__xludf.DUMMYFUNCTION("""COMPUTED_VALUE"""),"GAZ:00001107")</f>
        <v>GAZ:00001107</v>
      </c>
      <c r="D1549"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549" s="29"/>
      <c r="F1549" s="29"/>
      <c r="G1549" s="29"/>
      <c r="H1549" s="54"/>
      <c r="I1549" s="54"/>
      <c r="J1549" s="54"/>
      <c r="K1549" s="53" t="s">
        <v>31</v>
      </c>
      <c r="L1549" s="29" t="str">
        <f>LEFT(A1549, LEN(A1549) - 5)
</f>
        <v>#VALUE!</v>
      </c>
      <c r="M1549" s="58" t="s">
        <v>32</v>
      </c>
    </row>
    <row r="1550">
      <c r="A1550" s="29"/>
      <c r="B1550" s="50" t="str">
        <f>IFERROR(__xludf.DUMMYFUNCTION("""COMPUTED_VALUE"""),"Zimbabwe                    ")</f>
        <v>Zimbabwe                    </v>
      </c>
      <c r="C1550" s="29" t="str">
        <f>IFERROR(__xludf.DUMMYFUNCTION("""COMPUTED_VALUE"""),"GAZ:00001106")</f>
        <v>GAZ:00001106</v>
      </c>
      <c r="D1550"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550" s="29"/>
      <c r="F1550" s="29"/>
      <c r="G1550" s="29"/>
      <c r="H1550" s="54" t="s">
        <v>19</v>
      </c>
      <c r="I1550" s="54" t="s">
        <v>19</v>
      </c>
      <c r="J1550" s="54" t="s">
        <v>19</v>
      </c>
      <c r="K1550" s="52" t="str">
        <f t="shared" ref="K1550:K1821" si="75">K1549</f>
        <v>International</v>
      </c>
      <c r="M1550" s="55"/>
    </row>
    <row r="1551">
      <c r="A1551" s="29" t="str">
        <f>IFERROR(__xludf.DUMMYFUNCTION("""COMPUTED_VALUE"""),"geo_loc_name (country) international menu")</f>
        <v>geo_loc_name (country) international menu</v>
      </c>
      <c r="B1551" s="50" t="str">
        <f>IFERROR(__xludf.DUMMYFUNCTION("""COMPUTED_VALUE"""),"                    ")</f>
        <v>                    </v>
      </c>
      <c r="C1551" s="29"/>
      <c r="D1551" s="29" t="str">
        <f>IFERROR(__xludf.DUMMYFUNCTION("""COMPUTED_VALUE"""),"")</f>
        <v/>
      </c>
      <c r="E1551" s="29"/>
      <c r="F1551" s="29"/>
      <c r="G1551" s="29"/>
      <c r="H1551" s="54" t="s">
        <v>19</v>
      </c>
      <c r="I1551" s="54" t="s">
        <v>19</v>
      </c>
      <c r="J1551" s="54" t="s">
        <v>19</v>
      </c>
      <c r="K1551" s="52" t="str">
        <f t="shared" si="75"/>
        <v>International</v>
      </c>
      <c r="M1551" s="55"/>
    </row>
    <row r="1552">
      <c r="A1552" s="29"/>
      <c r="B1552" s="50" t="str">
        <f>IFERROR(__xludf.DUMMYFUNCTION("""COMPUTED_VALUE"""),"Afghanistan [GAZ:00006882]                    ")</f>
        <v>Afghanistan [GAZ:00006882]                    </v>
      </c>
      <c r="C1552" s="29" t="str">
        <f>IFERROR(__xludf.DUMMYFUNCTION("""COMPUTED_VALUE"""),"GAZ:00006882")</f>
        <v>GAZ:00006882</v>
      </c>
      <c r="D1552"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552" s="29"/>
      <c r="F1552" s="29"/>
      <c r="G1552" s="29"/>
      <c r="H1552" s="54" t="s">
        <v>19</v>
      </c>
      <c r="I1552" s="54" t="s">
        <v>19</v>
      </c>
      <c r="J1552" s="54" t="s">
        <v>19</v>
      </c>
      <c r="K1552" s="52" t="str">
        <f t="shared" si="75"/>
        <v>International</v>
      </c>
      <c r="M1552" s="55"/>
    </row>
    <row r="1553">
      <c r="A1553" s="29"/>
      <c r="B1553" s="50" t="str">
        <f>IFERROR(__xludf.DUMMYFUNCTION("""COMPUTED_VALUE"""),"Albania [GAZ:00002953]                    ")</f>
        <v>Albania [GAZ:00002953]                    </v>
      </c>
      <c r="C1553" s="29" t="str">
        <f>IFERROR(__xludf.DUMMYFUNCTION("""COMPUTED_VALUE"""),"GAZ:00002953")</f>
        <v>GAZ:00002953</v>
      </c>
      <c r="D1553"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553" s="29"/>
      <c r="F1553" s="29"/>
      <c r="G1553" s="29"/>
      <c r="H1553" s="54" t="s">
        <v>19</v>
      </c>
      <c r="I1553" s="54" t="s">
        <v>19</v>
      </c>
      <c r="J1553" s="54" t="s">
        <v>19</v>
      </c>
      <c r="K1553" s="52" t="str">
        <f t="shared" si="75"/>
        <v>International</v>
      </c>
      <c r="M1553" s="55"/>
    </row>
    <row r="1554">
      <c r="A1554" s="29"/>
      <c r="B1554" s="50" t="str">
        <f>IFERROR(__xludf.DUMMYFUNCTION("""COMPUTED_VALUE"""),"Algeria [GAZ:00000563]                    ")</f>
        <v>Algeria [GAZ:00000563]                    </v>
      </c>
      <c r="C1554" s="29" t="str">
        <f>IFERROR(__xludf.DUMMYFUNCTION("""COMPUTED_VALUE"""),"GAZ:00000563")</f>
        <v>GAZ:00000563</v>
      </c>
      <c r="D1554"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554" s="29"/>
      <c r="F1554" s="29"/>
      <c r="G1554" s="29"/>
      <c r="H1554" s="54" t="s">
        <v>19</v>
      </c>
      <c r="I1554" s="54" t="s">
        <v>19</v>
      </c>
      <c r="J1554" s="54" t="s">
        <v>19</v>
      </c>
      <c r="K1554" s="52" t="str">
        <f t="shared" si="75"/>
        <v>International</v>
      </c>
      <c r="M1554" s="55"/>
    </row>
    <row r="1555">
      <c r="A1555" s="29"/>
      <c r="B1555" s="50" t="str">
        <f>IFERROR(__xludf.DUMMYFUNCTION("""COMPUTED_VALUE"""),"American Samoa [GAZ:00003957]                    ")</f>
        <v>American Samoa [GAZ:00003957]                    </v>
      </c>
      <c r="C1555" s="29" t="str">
        <f>IFERROR(__xludf.DUMMYFUNCTION("""COMPUTED_VALUE"""),"GAZ:00003957")</f>
        <v>GAZ:00003957</v>
      </c>
      <c r="D1555"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555" s="29"/>
      <c r="F1555" s="29"/>
      <c r="G1555" s="29"/>
      <c r="H1555" s="54" t="s">
        <v>19</v>
      </c>
      <c r="I1555" s="54" t="s">
        <v>19</v>
      </c>
      <c r="J1555" s="54" t="s">
        <v>19</v>
      </c>
      <c r="K1555" s="52" t="str">
        <f t="shared" si="75"/>
        <v>International</v>
      </c>
      <c r="M1555" s="55"/>
    </row>
    <row r="1556">
      <c r="A1556" s="29"/>
      <c r="B1556" s="50" t="str">
        <f>IFERROR(__xludf.DUMMYFUNCTION("""COMPUTED_VALUE"""),"Andorra [GAZ:00002948]                    ")</f>
        <v>Andorra [GAZ:00002948]                    </v>
      </c>
      <c r="C1556" s="29" t="str">
        <f>IFERROR(__xludf.DUMMYFUNCTION("""COMPUTED_VALUE"""),"GAZ:00002948")</f>
        <v>GAZ:00002948</v>
      </c>
      <c r="D1556"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56" s="29"/>
      <c r="F1556" s="29"/>
      <c r="G1556" s="29"/>
      <c r="H1556" s="54" t="s">
        <v>19</v>
      </c>
      <c r="I1556" s="54" t="s">
        <v>19</v>
      </c>
      <c r="J1556" s="54" t="s">
        <v>19</v>
      </c>
      <c r="K1556" s="52" t="str">
        <f t="shared" si="75"/>
        <v>International</v>
      </c>
      <c r="M1556" s="55"/>
    </row>
    <row r="1557">
      <c r="A1557" s="29"/>
      <c r="B1557" s="50" t="str">
        <f>IFERROR(__xludf.DUMMYFUNCTION("""COMPUTED_VALUE"""),"Angola [GAZ:00001095]                    ")</f>
        <v>Angola [GAZ:00001095]                    </v>
      </c>
      <c r="C1557" s="29" t="str">
        <f>IFERROR(__xludf.DUMMYFUNCTION("""COMPUTED_VALUE"""),"GAZ:00001095")</f>
        <v>GAZ:00001095</v>
      </c>
      <c r="D1557"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557" s="29"/>
      <c r="F1557" s="29"/>
      <c r="G1557" s="29"/>
      <c r="H1557" s="54" t="s">
        <v>19</v>
      </c>
      <c r="I1557" s="54" t="s">
        <v>19</v>
      </c>
      <c r="J1557" s="54" t="s">
        <v>19</v>
      </c>
      <c r="K1557" s="52" t="str">
        <f t="shared" si="75"/>
        <v>International</v>
      </c>
      <c r="M1557" s="55"/>
    </row>
    <row r="1558">
      <c r="A1558" s="29"/>
      <c r="B1558" s="50" t="str">
        <f>IFERROR(__xludf.DUMMYFUNCTION("""COMPUTED_VALUE"""),"Anguilla [GAZ:00009159]                    ")</f>
        <v>Anguilla [GAZ:00009159]                    </v>
      </c>
      <c r="C1558" s="29" t="str">
        <f>IFERROR(__xludf.DUMMYFUNCTION("""COMPUTED_VALUE"""),"GAZ:00009159")</f>
        <v>GAZ:00009159</v>
      </c>
      <c r="D1558"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558" s="29"/>
      <c r="F1558" s="29"/>
      <c r="G1558" s="29"/>
      <c r="H1558" s="54" t="s">
        <v>19</v>
      </c>
      <c r="I1558" s="54" t="s">
        <v>19</v>
      </c>
      <c r="J1558" s="54" t="s">
        <v>19</v>
      </c>
      <c r="K1558" s="52" t="str">
        <f t="shared" si="75"/>
        <v>International</v>
      </c>
      <c r="M1558" s="55"/>
    </row>
    <row r="1559">
      <c r="A1559" s="29"/>
      <c r="B1559" s="50" t="str">
        <f>IFERROR(__xludf.DUMMYFUNCTION("""COMPUTED_VALUE"""),"Antarctica [GAZ:00000462]                    ")</f>
        <v>Antarctica [GAZ:00000462]                    </v>
      </c>
      <c r="C1559" s="29" t="str">
        <f>IFERROR(__xludf.DUMMYFUNCTION("""COMPUTED_VALUE"""),"GAZ:00000462")</f>
        <v>GAZ:00000462</v>
      </c>
      <c r="D1559"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559" s="29"/>
      <c r="F1559" s="29"/>
      <c r="G1559" s="29"/>
      <c r="H1559" s="54" t="s">
        <v>19</v>
      </c>
      <c r="I1559" s="54" t="s">
        <v>19</v>
      </c>
      <c r="J1559" s="54" t="s">
        <v>19</v>
      </c>
      <c r="K1559" s="52" t="str">
        <f t="shared" si="75"/>
        <v>International</v>
      </c>
    </row>
    <row r="1560">
      <c r="A1560" s="29"/>
      <c r="B1560" s="50" t="str">
        <f>IFERROR(__xludf.DUMMYFUNCTION("""COMPUTED_VALUE"""),"Antigua and Barbuda [GAZ:00006883]                    ")</f>
        <v>Antigua and Barbuda [GAZ:00006883]                    </v>
      </c>
      <c r="C1560" s="29" t="str">
        <f>IFERROR(__xludf.DUMMYFUNCTION("""COMPUTED_VALUE"""),"GAZ:00006883")</f>
        <v>GAZ:00006883</v>
      </c>
      <c r="D1560"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560" s="29"/>
      <c r="F1560" s="29"/>
      <c r="G1560" s="29"/>
      <c r="H1560" s="54" t="s">
        <v>19</v>
      </c>
      <c r="I1560" s="54" t="s">
        <v>19</v>
      </c>
      <c r="J1560" s="54" t="s">
        <v>19</v>
      </c>
      <c r="K1560" s="52" t="str">
        <f t="shared" si="75"/>
        <v>International</v>
      </c>
      <c r="M1560" s="56"/>
    </row>
    <row r="1561">
      <c r="A1561" s="29"/>
      <c r="B1561" s="50" t="str">
        <f>IFERROR(__xludf.DUMMYFUNCTION("""COMPUTED_VALUE"""),"Argentina [GAZ:00002928]                    ")</f>
        <v>Argentina [GAZ:00002928]                    </v>
      </c>
      <c r="C1561" s="29" t="str">
        <f>IFERROR(__xludf.DUMMYFUNCTION("""COMPUTED_VALUE"""),"GAZ:00002928")</f>
        <v>GAZ:00002928</v>
      </c>
      <c r="D1561"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561" s="29"/>
      <c r="F1561" s="29"/>
      <c r="G1561" s="29"/>
      <c r="H1561" s="54" t="s">
        <v>19</v>
      </c>
      <c r="I1561" s="54" t="s">
        <v>19</v>
      </c>
      <c r="J1561" s="54" t="s">
        <v>19</v>
      </c>
      <c r="K1561" s="52" t="str">
        <f t="shared" si="75"/>
        <v>International</v>
      </c>
    </row>
    <row r="1562">
      <c r="A1562" s="29"/>
      <c r="B1562" s="50" t="str">
        <f>IFERROR(__xludf.DUMMYFUNCTION("""COMPUTED_VALUE"""),"Armenia [GAZ:00004094]                    ")</f>
        <v>Armenia [GAZ:00004094]                    </v>
      </c>
      <c r="C1562" s="29" t="str">
        <f>IFERROR(__xludf.DUMMYFUNCTION("""COMPUTED_VALUE"""),"GAZ:00004094")</f>
        <v>GAZ:00004094</v>
      </c>
      <c r="D1562"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562" s="29"/>
      <c r="F1562" s="29"/>
      <c r="G1562" s="29"/>
      <c r="H1562" s="54" t="s">
        <v>19</v>
      </c>
      <c r="I1562" s="54" t="s">
        <v>19</v>
      </c>
      <c r="J1562" s="54" t="s">
        <v>19</v>
      </c>
      <c r="K1562" s="52" t="str">
        <f t="shared" si="75"/>
        <v>International</v>
      </c>
    </row>
    <row r="1563">
      <c r="A1563" s="29"/>
      <c r="B1563" s="50" t="str">
        <f>IFERROR(__xludf.DUMMYFUNCTION("""COMPUTED_VALUE"""),"Aruba [GAZ:00004025]                    ")</f>
        <v>Aruba [GAZ:00004025]                    </v>
      </c>
      <c r="C1563" s="29" t="str">
        <f>IFERROR(__xludf.DUMMYFUNCTION("""COMPUTED_VALUE"""),"GAZ:00004025")</f>
        <v>GAZ:00004025</v>
      </c>
      <c r="D1563"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563" s="29"/>
      <c r="F1563" s="29"/>
      <c r="G1563" s="29"/>
      <c r="H1563" s="54" t="s">
        <v>19</v>
      </c>
      <c r="I1563" s="54" t="s">
        <v>19</v>
      </c>
      <c r="J1563" s="54" t="s">
        <v>19</v>
      </c>
      <c r="K1563" s="52" t="str">
        <f t="shared" si="75"/>
        <v>International</v>
      </c>
    </row>
    <row r="1564">
      <c r="A1564" s="29"/>
      <c r="B1564" s="50" t="str">
        <f>IFERROR(__xludf.DUMMYFUNCTION("""COMPUTED_VALUE"""),"Ashmore and Cartier Islands [GAZ:00005901]                    ")</f>
        <v>Ashmore and Cartier Islands [GAZ:00005901]                    </v>
      </c>
      <c r="C1564" s="29" t="str">
        <f>IFERROR(__xludf.DUMMYFUNCTION("""COMPUTED_VALUE"""),"GAZ:00005901")</f>
        <v>GAZ:00005901</v>
      </c>
      <c r="D1564"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564" s="29"/>
      <c r="F1564" s="29"/>
      <c r="G1564" s="29"/>
      <c r="H1564" s="54" t="s">
        <v>19</v>
      </c>
      <c r="I1564" s="54" t="s">
        <v>19</v>
      </c>
      <c r="J1564" s="54" t="s">
        <v>19</v>
      </c>
      <c r="K1564" s="52" t="str">
        <f t="shared" si="75"/>
        <v>International</v>
      </c>
    </row>
    <row r="1565">
      <c r="A1565" s="29"/>
      <c r="B1565" s="50" t="str">
        <f>IFERROR(__xludf.DUMMYFUNCTION("""COMPUTED_VALUE"""),"Australia [GAZ:00000463]                    ")</f>
        <v>Australia [GAZ:00000463]                    </v>
      </c>
      <c r="C1565" s="29" t="str">
        <f>IFERROR(__xludf.DUMMYFUNCTION("""COMPUTED_VALUE"""),"GAZ:00000463")</f>
        <v>GAZ:00000463</v>
      </c>
      <c r="D1565"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565" s="29"/>
      <c r="F1565" s="29"/>
      <c r="G1565" s="29"/>
      <c r="H1565" s="54" t="s">
        <v>19</v>
      </c>
      <c r="I1565" s="54" t="s">
        <v>19</v>
      </c>
      <c r="J1565" s="54" t="s">
        <v>19</v>
      </c>
      <c r="K1565" s="52" t="str">
        <f t="shared" si="75"/>
        <v>International</v>
      </c>
    </row>
    <row r="1566">
      <c r="A1566" s="29"/>
      <c r="B1566" s="50" t="str">
        <f>IFERROR(__xludf.DUMMYFUNCTION("""COMPUTED_VALUE"""),"Austria [GAZ:00002942]                    ")</f>
        <v>Austria [GAZ:00002942]                    </v>
      </c>
      <c r="C1566" s="29" t="str">
        <f>IFERROR(__xludf.DUMMYFUNCTION("""COMPUTED_VALUE"""),"GAZ:00002942")</f>
        <v>GAZ:00002942</v>
      </c>
      <c r="D1566"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566" s="29"/>
      <c r="F1566" s="29"/>
      <c r="G1566" s="29"/>
      <c r="H1566" s="54" t="s">
        <v>19</v>
      </c>
      <c r="I1566" s="54" t="s">
        <v>19</v>
      </c>
      <c r="J1566" s="54" t="s">
        <v>19</v>
      </c>
      <c r="K1566" s="52" t="str">
        <f t="shared" si="75"/>
        <v>International</v>
      </c>
    </row>
    <row r="1567">
      <c r="A1567" s="29"/>
      <c r="B1567" s="50" t="str">
        <f>IFERROR(__xludf.DUMMYFUNCTION("""COMPUTED_VALUE"""),"Azerbaijan [GAZ:00004941]                    ")</f>
        <v>Azerbaijan [GAZ:00004941]                    </v>
      </c>
      <c r="C1567" s="29" t="str">
        <f>IFERROR(__xludf.DUMMYFUNCTION("""COMPUTED_VALUE"""),"GAZ:00004941")</f>
        <v>GAZ:00004941</v>
      </c>
      <c r="D1567"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567" s="29"/>
      <c r="F1567" s="29"/>
      <c r="G1567" s="29"/>
      <c r="H1567" s="54" t="s">
        <v>19</v>
      </c>
      <c r="I1567" s="54" t="s">
        <v>19</v>
      </c>
      <c r="J1567" s="54" t="s">
        <v>19</v>
      </c>
      <c r="K1567" s="52" t="str">
        <f t="shared" si="75"/>
        <v>International</v>
      </c>
    </row>
    <row r="1568">
      <c r="A1568" s="29"/>
      <c r="B1568" s="50" t="str">
        <f>IFERROR(__xludf.DUMMYFUNCTION("""COMPUTED_VALUE"""),"Bahamas [GAZ:00002733]                    ")</f>
        <v>Bahamas [GAZ:00002733]                    </v>
      </c>
      <c r="C1568" s="29" t="str">
        <f>IFERROR(__xludf.DUMMYFUNCTION("""COMPUTED_VALUE"""),"GAZ:00002733")</f>
        <v>GAZ:00002733</v>
      </c>
      <c r="D1568"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568" s="29"/>
      <c r="F1568" s="29"/>
      <c r="G1568" s="29"/>
      <c r="H1568" s="54" t="s">
        <v>19</v>
      </c>
      <c r="I1568" s="54" t="s">
        <v>19</v>
      </c>
      <c r="J1568" s="54" t="s">
        <v>19</v>
      </c>
      <c r="K1568" s="52" t="str">
        <f t="shared" si="75"/>
        <v>International</v>
      </c>
    </row>
    <row r="1569">
      <c r="A1569" s="29"/>
      <c r="B1569" s="50" t="str">
        <f>IFERROR(__xludf.DUMMYFUNCTION("""COMPUTED_VALUE"""),"Bahrain [GAZ:00005281]                    ")</f>
        <v>Bahrain [GAZ:00005281]                    </v>
      </c>
      <c r="C1569" s="29" t="str">
        <f>IFERROR(__xludf.DUMMYFUNCTION("""COMPUTED_VALUE"""),"GAZ:00005281")</f>
        <v>GAZ:00005281</v>
      </c>
      <c r="D1569"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569" s="29"/>
      <c r="F1569" s="29"/>
      <c r="G1569" s="29"/>
      <c r="H1569" s="54" t="s">
        <v>19</v>
      </c>
      <c r="I1569" s="54" t="s">
        <v>19</v>
      </c>
      <c r="J1569" s="54" t="s">
        <v>19</v>
      </c>
      <c r="K1569" s="52" t="str">
        <f t="shared" si="75"/>
        <v>International</v>
      </c>
    </row>
    <row r="1570">
      <c r="A1570" s="29"/>
      <c r="B1570" s="50" t="str">
        <f>IFERROR(__xludf.DUMMYFUNCTION("""COMPUTED_VALUE"""),"Baker Island [GAZ:00007117]                    ")</f>
        <v>Baker Island [GAZ:00007117]                    </v>
      </c>
      <c r="C1570" s="29" t="str">
        <f>IFERROR(__xludf.DUMMYFUNCTION("""COMPUTED_VALUE"""),"GAZ:00007117")</f>
        <v>GAZ:00007117</v>
      </c>
      <c r="D1570"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570" s="29"/>
      <c r="F1570" s="29"/>
      <c r="G1570" s="29"/>
      <c r="H1570" s="54" t="s">
        <v>19</v>
      </c>
      <c r="I1570" s="54" t="s">
        <v>19</v>
      </c>
      <c r="J1570" s="54" t="s">
        <v>19</v>
      </c>
      <c r="K1570" s="52" t="str">
        <f t="shared" si="75"/>
        <v>International</v>
      </c>
    </row>
    <row r="1571">
      <c r="A1571" s="29"/>
      <c r="B1571" s="50" t="str">
        <f>IFERROR(__xludf.DUMMYFUNCTION("""COMPUTED_VALUE"""),"Bangladesh [GAZ:00003750]                    ")</f>
        <v>Bangladesh [GAZ:00003750]                    </v>
      </c>
      <c r="C1571" s="29" t="str">
        <f>IFERROR(__xludf.DUMMYFUNCTION("""COMPUTED_VALUE"""),"GAZ:00003750")</f>
        <v>GAZ:00003750</v>
      </c>
      <c r="D1571"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571" s="29"/>
      <c r="F1571" s="29"/>
      <c r="G1571" s="29"/>
      <c r="H1571" s="54" t="s">
        <v>19</v>
      </c>
      <c r="I1571" s="54" t="s">
        <v>19</v>
      </c>
      <c r="J1571" s="54" t="s">
        <v>19</v>
      </c>
      <c r="K1571" s="52" t="str">
        <f t="shared" si="75"/>
        <v>International</v>
      </c>
    </row>
    <row r="1572">
      <c r="A1572" s="29"/>
      <c r="B1572" s="50" t="str">
        <f>IFERROR(__xludf.DUMMYFUNCTION("""COMPUTED_VALUE"""),"Barbados [GAZ:00001251]                    ")</f>
        <v>Barbados [GAZ:00001251]                    </v>
      </c>
      <c r="C1572" s="29" t="str">
        <f>IFERROR(__xludf.DUMMYFUNCTION("""COMPUTED_VALUE"""),"GAZ:00001251")</f>
        <v>GAZ:00001251</v>
      </c>
      <c r="D1572"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572" s="29"/>
      <c r="F1572" s="29"/>
      <c r="G1572" s="29"/>
      <c r="H1572" s="54" t="s">
        <v>19</v>
      </c>
      <c r="I1572" s="54" t="s">
        <v>19</v>
      </c>
      <c r="J1572" s="54" t="s">
        <v>19</v>
      </c>
      <c r="K1572" s="52" t="str">
        <f t="shared" si="75"/>
        <v>International</v>
      </c>
    </row>
    <row r="1573">
      <c r="A1573" s="29"/>
      <c r="B1573" s="50" t="str">
        <f>IFERROR(__xludf.DUMMYFUNCTION("""COMPUTED_VALUE"""),"Bassas da India [GAZ:00005810]                    ")</f>
        <v>Bassas da India [GAZ:00005810]                    </v>
      </c>
      <c r="C1573" s="29" t="str">
        <f>IFERROR(__xludf.DUMMYFUNCTION("""COMPUTED_VALUE"""),"GAZ:00005810")</f>
        <v>GAZ:00005810</v>
      </c>
      <c r="D1573"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573" s="29"/>
      <c r="F1573" s="29"/>
      <c r="G1573" s="29"/>
      <c r="H1573" s="54" t="s">
        <v>19</v>
      </c>
      <c r="I1573" s="54" t="s">
        <v>19</v>
      </c>
      <c r="J1573" s="54" t="s">
        <v>19</v>
      </c>
      <c r="K1573" s="52" t="str">
        <f t="shared" si="75"/>
        <v>International</v>
      </c>
    </row>
    <row r="1574">
      <c r="A1574" s="29"/>
      <c r="B1574" s="50" t="str">
        <f>IFERROR(__xludf.DUMMYFUNCTION("""COMPUTED_VALUE"""),"Belarus [GAZ:00006886]                    ")</f>
        <v>Belarus [GAZ:00006886]                    </v>
      </c>
      <c r="C1574" s="29" t="str">
        <f>IFERROR(__xludf.DUMMYFUNCTION("""COMPUTED_VALUE"""),"GAZ:00006886")</f>
        <v>GAZ:00006886</v>
      </c>
      <c r="D1574"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574" s="29"/>
      <c r="F1574" s="29"/>
      <c r="G1574" s="29"/>
      <c r="H1574" s="54" t="s">
        <v>19</v>
      </c>
      <c r="I1574" s="54" t="s">
        <v>19</v>
      </c>
      <c r="J1574" s="54" t="s">
        <v>19</v>
      </c>
      <c r="K1574" s="52" t="str">
        <f t="shared" si="75"/>
        <v>International</v>
      </c>
    </row>
    <row r="1575">
      <c r="A1575" s="29"/>
      <c r="B1575" s="50" t="str">
        <f>IFERROR(__xludf.DUMMYFUNCTION("""COMPUTED_VALUE"""),"Belgium [GAZ:00002938]                    ")</f>
        <v>Belgium [GAZ:00002938]                    </v>
      </c>
      <c r="C1575" s="29" t="str">
        <f>IFERROR(__xludf.DUMMYFUNCTION("""COMPUTED_VALUE"""),"GAZ:00002938")</f>
        <v>GAZ:00002938</v>
      </c>
      <c r="D1575"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575" s="29"/>
      <c r="F1575" s="29"/>
      <c r="G1575" s="29"/>
      <c r="H1575" s="54" t="s">
        <v>19</v>
      </c>
      <c r="I1575" s="54" t="s">
        <v>19</v>
      </c>
      <c r="J1575" s="54" t="s">
        <v>19</v>
      </c>
      <c r="K1575" s="52" t="str">
        <f t="shared" si="75"/>
        <v>International</v>
      </c>
    </row>
    <row r="1576">
      <c r="A1576" s="29"/>
      <c r="B1576" s="50" t="str">
        <f>IFERROR(__xludf.DUMMYFUNCTION("""COMPUTED_VALUE"""),"Belize [GAZ:00002934]                    ")</f>
        <v>Belize [GAZ:00002934]                    </v>
      </c>
      <c r="C1576" s="29" t="str">
        <f>IFERROR(__xludf.DUMMYFUNCTION("""COMPUTED_VALUE"""),"GAZ:00002934")</f>
        <v>GAZ:00002934</v>
      </c>
      <c r="D1576"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576" s="29"/>
      <c r="F1576" s="29"/>
      <c r="G1576" s="29"/>
      <c r="H1576" s="54" t="s">
        <v>19</v>
      </c>
      <c r="I1576" s="54" t="s">
        <v>19</v>
      </c>
      <c r="J1576" s="54" t="s">
        <v>19</v>
      </c>
      <c r="K1576" s="52" t="str">
        <f t="shared" si="75"/>
        <v>International</v>
      </c>
    </row>
    <row r="1577">
      <c r="A1577" s="29"/>
      <c r="B1577" s="50" t="str">
        <f>IFERROR(__xludf.DUMMYFUNCTION("""COMPUTED_VALUE"""),"Benin [GAZ:00000904]                    ")</f>
        <v>Benin [GAZ:00000904]                    </v>
      </c>
      <c r="C1577" s="29" t="str">
        <f>IFERROR(__xludf.DUMMYFUNCTION("""COMPUTED_VALUE"""),"GAZ:00000904")</f>
        <v>GAZ:00000904</v>
      </c>
      <c r="D1577"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577" s="29"/>
      <c r="F1577" s="29"/>
      <c r="G1577" s="29"/>
      <c r="H1577" s="54" t="s">
        <v>19</v>
      </c>
      <c r="I1577" s="54" t="s">
        <v>19</v>
      </c>
      <c r="J1577" s="54" t="s">
        <v>19</v>
      </c>
      <c r="K1577" s="52" t="str">
        <f t="shared" si="75"/>
        <v>International</v>
      </c>
    </row>
    <row r="1578">
      <c r="A1578" s="29"/>
      <c r="B1578" s="50" t="str">
        <f>IFERROR(__xludf.DUMMYFUNCTION("""COMPUTED_VALUE"""),"Bermuda [GAZ:00001264]                    ")</f>
        <v>Bermuda [GAZ:00001264]                    </v>
      </c>
      <c r="C1578" s="29" t="str">
        <f>IFERROR(__xludf.DUMMYFUNCTION("""COMPUTED_VALUE"""),"GAZ:00001264")</f>
        <v>GAZ:00001264</v>
      </c>
      <c r="D1578"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578" s="29"/>
      <c r="F1578" s="29"/>
      <c r="G1578" s="29"/>
      <c r="H1578" s="54" t="s">
        <v>19</v>
      </c>
      <c r="I1578" s="54" t="s">
        <v>19</v>
      </c>
      <c r="J1578" s="54" t="s">
        <v>19</v>
      </c>
      <c r="K1578" s="52" t="str">
        <f t="shared" si="75"/>
        <v>International</v>
      </c>
    </row>
    <row r="1579">
      <c r="A1579" s="29"/>
      <c r="B1579" s="50" t="str">
        <f>IFERROR(__xludf.DUMMYFUNCTION("""COMPUTED_VALUE"""),"Bhutan [GAZ:00003920]                    ")</f>
        <v>Bhutan [GAZ:00003920]                    </v>
      </c>
      <c r="C1579" s="29" t="str">
        <f>IFERROR(__xludf.DUMMYFUNCTION("""COMPUTED_VALUE"""),"GAZ:00003920")</f>
        <v>GAZ:00003920</v>
      </c>
      <c r="D1579"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579" s="29"/>
      <c r="F1579" s="29"/>
      <c r="G1579" s="29"/>
      <c r="H1579" s="54" t="s">
        <v>19</v>
      </c>
      <c r="I1579" s="54" t="s">
        <v>19</v>
      </c>
      <c r="J1579" s="54" t="s">
        <v>19</v>
      </c>
      <c r="K1579" s="52" t="str">
        <f t="shared" si="75"/>
        <v>International</v>
      </c>
    </row>
    <row r="1580">
      <c r="A1580" s="29"/>
      <c r="B1580" s="29" t="str">
        <f>IFERROR(__xludf.DUMMYFUNCTION("""COMPUTED_VALUE"""),"Bolivia [GAZ:00002511]                    ")</f>
        <v>Bolivia [GAZ:00002511]                    </v>
      </c>
      <c r="C1580" s="29" t="str">
        <f>IFERROR(__xludf.DUMMYFUNCTION("""COMPUTED_VALUE"""),"GAZ:00002511")</f>
        <v>GAZ:00002511</v>
      </c>
      <c r="D1580"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580" s="29"/>
      <c r="F1580" s="29"/>
      <c r="G1580" s="29"/>
      <c r="H1580" s="54" t="s">
        <v>19</v>
      </c>
      <c r="I1580" s="54" t="s">
        <v>19</v>
      </c>
      <c r="J1580" s="54" t="s">
        <v>19</v>
      </c>
      <c r="K1580" s="52" t="str">
        <f t="shared" si="75"/>
        <v>International</v>
      </c>
    </row>
    <row r="1581">
      <c r="A1581" s="29"/>
      <c r="B1581" s="29" t="str">
        <f>IFERROR(__xludf.DUMMYFUNCTION("""COMPUTED_VALUE"""),"Borneo [GAZ:00025355]                    ")</f>
        <v>Borneo [GAZ:00025355]                    </v>
      </c>
      <c r="C1581" s="29" t="str">
        <f>IFERROR(__xludf.DUMMYFUNCTION("""COMPUTED_VALUE"""),"GAZ:00025355")</f>
        <v>GAZ:00025355</v>
      </c>
      <c r="D1581"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581" s="29"/>
      <c r="F1581" s="29"/>
      <c r="G1581" s="29"/>
      <c r="H1581" s="54" t="s">
        <v>19</v>
      </c>
      <c r="I1581" s="54" t="s">
        <v>19</v>
      </c>
      <c r="J1581" s="54" t="s">
        <v>19</v>
      </c>
      <c r="K1581" s="52" t="str">
        <f t="shared" si="75"/>
        <v>International</v>
      </c>
    </row>
    <row r="1582">
      <c r="A1582" s="29"/>
      <c r="B1582" s="29" t="str">
        <f>IFERROR(__xludf.DUMMYFUNCTION("""COMPUTED_VALUE"""),"Bosnia and Herzegovina [GAZ:00006887]                    ")</f>
        <v>Bosnia and Herzegovina [GAZ:00006887]                    </v>
      </c>
      <c r="C1582" s="29" t="str">
        <f>IFERROR(__xludf.DUMMYFUNCTION("""COMPUTED_VALUE"""),"GAZ:00006887")</f>
        <v>GAZ:00006887</v>
      </c>
      <c r="D1582"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582" s="29"/>
      <c r="F1582" s="29"/>
      <c r="G1582" s="29"/>
      <c r="H1582" s="54" t="s">
        <v>19</v>
      </c>
      <c r="I1582" s="54" t="s">
        <v>19</v>
      </c>
      <c r="J1582" s="54" t="s">
        <v>19</v>
      </c>
      <c r="K1582" s="52" t="str">
        <f t="shared" si="75"/>
        <v>International</v>
      </c>
    </row>
    <row r="1583">
      <c r="A1583" s="29"/>
      <c r="B1583" s="29" t="str">
        <f>IFERROR(__xludf.DUMMYFUNCTION("""COMPUTED_VALUE"""),"Botswana [GAZ:00001097]                    ")</f>
        <v>Botswana [GAZ:00001097]                    </v>
      </c>
      <c r="C1583" s="29" t="str">
        <f>IFERROR(__xludf.DUMMYFUNCTION("""COMPUTED_VALUE"""),"GAZ:00001097")</f>
        <v>GAZ:00001097</v>
      </c>
      <c r="D1583"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583" s="29"/>
      <c r="F1583" s="29"/>
      <c r="G1583" s="29"/>
      <c r="H1583" s="54" t="s">
        <v>19</v>
      </c>
      <c r="I1583" s="54" t="s">
        <v>19</v>
      </c>
      <c r="J1583" s="54" t="s">
        <v>19</v>
      </c>
      <c r="K1583" s="52" t="str">
        <f t="shared" si="75"/>
        <v>International</v>
      </c>
    </row>
    <row r="1584">
      <c r="A1584" s="29"/>
      <c r="B1584" s="29" t="str">
        <f>IFERROR(__xludf.DUMMYFUNCTION("""COMPUTED_VALUE"""),"Bouvet Island [GAZ:00001453]                    ")</f>
        <v>Bouvet Island [GAZ:00001453]                    </v>
      </c>
      <c r="C1584" s="29" t="str">
        <f>IFERROR(__xludf.DUMMYFUNCTION("""COMPUTED_VALUE"""),"GAZ:00001453")</f>
        <v>GAZ:00001453</v>
      </c>
      <c r="D1584"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584" s="29"/>
      <c r="F1584" s="29"/>
      <c r="G1584" s="29"/>
      <c r="H1584" s="54" t="s">
        <v>19</v>
      </c>
      <c r="I1584" s="54" t="s">
        <v>19</v>
      </c>
      <c r="J1584" s="54" t="s">
        <v>19</v>
      </c>
      <c r="K1584" s="52" t="str">
        <f t="shared" si="75"/>
        <v>International</v>
      </c>
    </row>
    <row r="1585">
      <c r="A1585" s="29"/>
      <c r="B1585" s="29" t="str">
        <f>IFERROR(__xludf.DUMMYFUNCTION("""COMPUTED_VALUE"""),"Brazil [GAZ:00002828]                    ")</f>
        <v>Brazil [GAZ:00002828]                    </v>
      </c>
      <c r="C1585" s="29" t="str">
        <f>IFERROR(__xludf.DUMMYFUNCTION("""COMPUTED_VALUE"""),"GAZ:00002828")</f>
        <v>GAZ:00002828</v>
      </c>
      <c r="D1585"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585" s="29"/>
      <c r="F1585" s="29"/>
      <c r="G1585" s="29"/>
      <c r="H1585" s="54" t="s">
        <v>19</v>
      </c>
      <c r="I1585" s="54" t="s">
        <v>19</v>
      </c>
      <c r="J1585" s="54" t="s">
        <v>19</v>
      </c>
      <c r="K1585" s="52" t="str">
        <f t="shared" si="75"/>
        <v>International</v>
      </c>
    </row>
    <row r="1586">
      <c r="A1586" s="29"/>
      <c r="B1586" s="29" t="str">
        <f>IFERROR(__xludf.DUMMYFUNCTION("""COMPUTED_VALUE"""),"British Virgin Islands [GAZ:00003961]                    ")</f>
        <v>British Virgin Islands [GAZ:00003961]                    </v>
      </c>
      <c r="C1586" s="29" t="str">
        <f>IFERROR(__xludf.DUMMYFUNCTION("""COMPUTED_VALUE"""),"GAZ:00003961")</f>
        <v>GAZ:00003961</v>
      </c>
      <c r="D1586"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586" s="29"/>
      <c r="F1586" s="29"/>
      <c r="G1586" s="29"/>
      <c r="H1586" s="54" t="s">
        <v>19</v>
      </c>
      <c r="I1586" s="54" t="s">
        <v>19</v>
      </c>
      <c r="J1586" s="54" t="s">
        <v>19</v>
      </c>
      <c r="K1586" s="52" t="str">
        <f t="shared" si="75"/>
        <v>International</v>
      </c>
    </row>
    <row r="1587">
      <c r="A1587" s="29"/>
      <c r="B1587" s="29" t="str">
        <f>IFERROR(__xludf.DUMMYFUNCTION("""COMPUTED_VALUE"""),"Brunei [GAZ:00003901]                    ")</f>
        <v>Brunei [GAZ:00003901]                    </v>
      </c>
      <c r="C1587" s="29" t="str">
        <f>IFERROR(__xludf.DUMMYFUNCTION("""COMPUTED_VALUE"""),"GAZ:00003901")</f>
        <v>GAZ:00003901</v>
      </c>
      <c r="D1587"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587" s="29"/>
      <c r="F1587" s="29"/>
      <c r="G1587" s="29"/>
      <c r="H1587" s="54" t="s">
        <v>19</v>
      </c>
      <c r="I1587" s="54" t="s">
        <v>19</v>
      </c>
      <c r="J1587" s="54" t="s">
        <v>19</v>
      </c>
      <c r="K1587" s="52" t="str">
        <f t="shared" si="75"/>
        <v>International</v>
      </c>
    </row>
    <row r="1588">
      <c r="A1588" s="29"/>
      <c r="B1588" s="29" t="str">
        <f>IFERROR(__xludf.DUMMYFUNCTION("""COMPUTED_VALUE"""),"Bulgaria [GAZ:00002950]                    ")</f>
        <v>Bulgaria [GAZ:00002950]                    </v>
      </c>
      <c r="C1588" s="29" t="str">
        <f>IFERROR(__xludf.DUMMYFUNCTION("""COMPUTED_VALUE"""),"GAZ:00002950")</f>
        <v>GAZ:00002950</v>
      </c>
      <c r="D1588"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588" s="29"/>
      <c r="F1588" s="29"/>
      <c r="G1588" s="29"/>
      <c r="H1588" s="54" t="s">
        <v>19</v>
      </c>
      <c r="I1588" s="54" t="s">
        <v>19</v>
      </c>
      <c r="J1588" s="54" t="s">
        <v>19</v>
      </c>
      <c r="K1588" s="52" t="str">
        <f t="shared" si="75"/>
        <v>International</v>
      </c>
    </row>
    <row r="1589">
      <c r="A1589" s="29"/>
      <c r="B1589" s="29" t="str">
        <f>IFERROR(__xludf.DUMMYFUNCTION("""COMPUTED_VALUE"""),"Burkina Faso [GAZ:00000905]                    ")</f>
        <v>Burkina Faso [GAZ:00000905]                    </v>
      </c>
      <c r="C1589" s="29" t="str">
        <f>IFERROR(__xludf.DUMMYFUNCTION("""COMPUTED_VALUE"""),"GAZ:00000905")</f>
        <v>GAZ:00000905</v>
      </c>
      <c r="D1589"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589" s="29"/>
      <c r="F1589" s="29"/>
      <c r="G1589" s="29"/>
      <c r="H1589" s="54" t="s">
        <v>19</v>
      </c>
      <c r="I1589" s="54" t="s">
        <v>19</v>
      </c>
      <c r="J1589" s="54" t="s">
        <v>19</v>
      </c>
      <c r="K1589" s="52" t="str">
        <f t="shared" si="75"/>
        <v>International</v>
      </c>
    </row>
    <row r="1590">
      <c r="A1590" s="29"/>
      <c r="B1590" s="29" t="str">
        <f>IFERROR(__xludf.DUMMYFUNCTION("""COMPUTED_VALUE"""),"Burundi [GAZ:00001090]                    ")</f>
        <v>Burundi [GAZ:00001090]                    </v>
      </c>
      <c r="C1590" s="29" t="str">
        <f>IFERROR(__xludf.DUMMYFUNCTION("""COMPUTED_VALUE"""),"GAZ:00001090")</f>
        <v>GAZ:00001090</v>
      </c>
      <c r="D1590"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590" s="29"/>
      <c r="F1590" s="29"/>
      <c r="G1590" s="29"/>
      <c r="H1590" s="54" t="s">
        <v>19</v>
      </c>
      <c r="I1590" s="54" t="s">
        <v>19</v>
      </c>
      <c r="J1590" s="54" t="s">
        <v>19</v>
      </c>
      <c r="K1590" s="52" t="str">
        <f t="shared" si="75"/>
        <v>International</v>
      </c>
    </row>
    <row r="1591">
      <c r="A1591" s="29"/>
      <c r="B1591" s="29" t="str">
        <f>IFERROR(__xludf.DUMMYFUNCTION("""COMPUTED_VALUE"""),"Cambodia [GAZ:00006888]                    ")</f>
        <v>Cambodia [GAZ:00006888]                    </v>
      </c>
      <c r="C1591" s="29" t="str">
        <f>IFERROR(__xludf.DUMMYFUNCTION("""COMPUTED_VALUE"""),"GAZ:00006888")</f>
        <v>GAZ:00006888</v>
      </c>
      <c r="D1591"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591" s="29"/>
      <c r="F1591" s="29"/>
      <c r="G1591" s="29"/>
      <c r="H1591" s="54" t="s">
        <v>19</v>
      </c>
      <c r="I1591" s="54" t="s">
        <v>19</v>
      </c>
      <c r="J1591" s="54" t="s">
        <v>19</v>
      </c>
      <c r="K1591" s="52" t="str">
        <f t="shared" si="75"/>
        <v>International</v>
      </c>
    </row>
    <row r="1592">
      <c r="A1592" s="29"/>
      <c r="B1592" s="29" t="str">
        <f>IFERROR(__xludf.DUMMYFUNCTION("""COMPUTED_VALUE"""),"Cameroon [GAZ:00001093]                    ")</f>
        <v>Cameroon [GAZ:00001093]                    </v>
      </c>
      <c r="C1592" s="29" t="str">
        <f>IFERROR(__xludf.DUMMYFUNCTION("""COMPUTED_VALUE"""),"GAZ:00001093")</f>
        <v>GAZ:00001093</v>
      </c>
      <c r="D1592"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592" s="29"/>
      <c r="F1592" s="29"/>
      <c r="G1592" s="29"/>
      <c r="H1592" s="54" t="s">
        <v>19</v>
      </c>
      <c r="I1592" s="54" t="s">
        <v>19</v>
      </c>
      <c r="J1592" s="54" t="s">
        <v>19</v>
      </c>
      <c r="K1592" s="52" t="str">
        <f t="shared" si="75"/>
        <v>International</v>
      </c>
    </row>
    <row r="1593">
      <c r="A1593" s="29"/>
      <c r="B1593" s="29" t="str">
        <f>IFERROR(__xludf.DUMMYFUNCTION("""COMPUTED_VALUE"""),"Canada [GAZ:00002560]                    ")</f>
        <v>Canada [GAZ:00002560]                    </v>
      </c>
      <c r="C1593" s="29" t="str">
        <f>IFERROR(__xludf.DUMMYFUNCTION("""COMPUTED_VALUE"""),"GAZ:00002560")</f>
        <v>GAZ:00002560</v>
      </c>
      <c r="D1593"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593" s="29"/>
      <c r="F1593" s="29"/>
      <c r="G1593" s="29"/>
      <c r="H1593" s="54" t="s">
        <v>19</v>
      </c>
      <c r="I1593" s="54" t="s">
        <v>19</v>
      </c>
      <c r="J1593" s="54" t="s">
        <v>19</v>
      </c>
      <c r="K1593" s="52" t="str">
        <f t="shared" si="75"/>
        <v>International</v>
      </c>
    </row>
    <row r="1594">
      <c r="A1594" s="29"/>
      <c r="B1594" s="29" t="str">
        <f>IFERROR(__xludf.DUMMYFUNCTION("""COMPUTED_VALUE"""),"Cape Verde [GAZ:00001227]                    ")</f>
        <v>Cape Verde [GAZ:00001227]                    </v>
      </c>
      <c r="C1594" s="29" t="str">
        <f>IFERROR(__xludf.DUMMYFUNCTION("""COMPUTED_VALUE"""),"GAZ:00001227")</f>
        <v>GAZ:00001227</v>
      </c>
      <c r="D1594"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594" s="29"/>
      <c r="F1594" s="29"/>
      <c r="G1594" s="29"/>
      <c r="H1594" s="54" t="s">
        <v>19</v>
      </c>
      <c r="I1594" s="54" t="s">
        <v>19</v>
      </c>
      <c r="J1594" s="54" t="s">
        <v>19</v>
      </c>
      <c r="K1594" s="52" t="str">
        <f t="shared" si="75"/>
        <v>International</v>
      </c>
    </row>
    <row r="1595">
      <c r="A1595" s="29"/>
      <c r="B1595" s="29" t="str">
        <f>IFERROR(__xludf.DUMMYFUNCTION("""COMPUTED_VALUE"""),"Cayman Islands [GAZ:00003986]                    ")</f>
        <v>Cayman Islands [GAZ:00003986]                    </v>
      </c>
      <c r="C1595" s="29" t="str">
        <f>IFERROR(__xludf.DUMMYFUNCTION("""COMPUTED_VALUE"""),"GAZ:00003986")</f>
        <v>GAZ:00003986</v>
      </c>
      <c r="D1595"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595" s="29"/>
      <c r="F1595" s="29"/>
      <c r="G1595" s="29"/>
      <c r="H1595" s="54" t="s">
        <v>19</v>
      </c>
      <c r="I1595" s="54" t="s">
        <v>19</v>
      </c>
      <c r="J1595" s="54" t="s">
        <v>19</v>
      </c>
      <c r="K1595" s="52" t="str">
        <f t="shared" si="75"/>
        <v>International</v>
      </c>
    </row>
    <row r="1596">
      <c r="A1596" s="29"/>
      <c r="B1596" s="29" t="str">
        <f>IFERROR(__xludf.DUMMYFUNCTION("""COMPUTED_VALUE"""),"Central African Republic [GAZ:00001089]                    ")</f>
        <v>Central African Republic [GAZ:00001089]                    </v>
      </c>
      <c r="C1596" s="29" t="str">
        <f>IFERROR(__xludf.DUMMYFUNCTION("""COMPUTED_VALUE"""),"GAZ:00001089")</f>
        <v>GAZ:00001089</v>
      </c>
      <c r="D1596"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596" s="29"/>
      <c r="F1596" s="29"/>
      <c r="G1596" s="29"/>
      <c r="H1596" s="54" t="s">
        <v>19</v>
      </c>
      <c r="I1596" s="54" t="s">
        <v>19</v>
      </c>
      <c r="J1596" s="54" t="s">
        <v>19</v>
      </c>
      <c r="K1596" s="52" t="str">
        <f t="shared" si="75"/>
        <v>International</v>
      </c>
    </row>
    <row r="1597">
      <c r="A1597" s="29"/>
      <c r="B1597" s="29" t="str">
        <f>IFERROR(__xludf.DUMMYFUNCTION("""COMPUTED_VALUE"""),"Chad [GAZ:00000586]                    ")</f>
        <v>Chad [GAZ:00000586]                    </v>
      </c>
      <c r="C1597" s="29" t="str">
        <f>IFERROR(__xludf.DUMMYFUNCTION("""COMPUTED_VALUE"""),"GAZ:00000586")</f>
        <v>GAZ:00000586</v>
      </c>
      <c r="D1597"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597" s="29"/>
      <c r="F1597" s="29"/>
      <c r="G1597" s="29"/>
      <c r="H1597" s="54" t="s">
        <v>19</v>
      </c>
      <c r="I1597" s="54" t="s">
        <v>19</v>
      </c>
      <c r="J1597" s="54" t="s">
        <v>19</v>
      </c>
      <c r="K1597" s="52" t="str">
        <f t="shared" si="75"/>
        <v>International</v>
      </c>
    </row>
    <row r="1598">
      <c r="A1598" s="29"/>
      <c r="B1598" s="29" t="str">
        <f>IFERROR(__xludf.DUMMYFUNCTION("""COMPUTED_VALUE"""),"Chile [GAZ:00002825]                    ")</f>
        <v>Chile [GAZ:00002825]                    </v>
      </c>
      <c r="C1598" s="29" t="str">
        <f>IFERROR(__xludf.DUMMYFUNCTION("""COMPUTED_VALUE"""),"GAZ:00002825")</f>
        <v>GAZ:00002825</v>
      </c>
      <c r="D1598"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598" s="29"/>
      <c r="F1598" s="29"/>
      <c r="G1598" s="29"/>
      <c r="H1598" s="54" t="s">
        <v>19</v>
      </c>
      <c r="I1598" s="54" t="s">
        <v>19</v>
      </c>
      <c r="J1598" s="54" t="s">
        <v>19</v>
      </c>
      <c r="K1598" s="52" t="str">
        <f t="shared" si="75"/>
        <v>International</v>
      </c>
    </row>
    <row r="1599">
      <c r="A1599" s="29"/>
      <c r="B1599" s="29" t="str">
        <f>IFERROR(__xludf.DUMMYFUNCTION("""COMPUTED_VALUE"""),"China [GAZ:00002845]                    ")</f>
        <v>China [GAZ:00002845]                    </v>
      </c>
      <c r="C1599" s="29" t="str">
        <f>IFERROR(__xludf.DUMMYFUNCTION("""COMPUTED_VALUE"""),"GAZ:00002845")</f>
        <v>GAZ:00002845</v>
      </c>
      <c r="D1599"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599" s="29"/>
      <c r="F1599" s="29"/>
      <c r="G1599" s="29"/>
      <c r="H1599" s="54" t="s">
        <v>19</v>
      </c>
      <c r="I1599" s="54" t="s">
        <v>19</v>
      </c>
      <c r="J1599" s="54" t="s">
        <v>19</v>
      </c>
      <c r="K1599" s="52" t="str">
        <f t="shared" si="75"/>
        <v>International</v>
      </c>
    </row>
    <row r="1600">
      <c r="A1600" s="29"/>
      <c r="B1600" s="29" t="str">
        <f>IFERROR(__xludf.DUMMYFUNCTION("""COMPUTED_VALUE"""),"Christmas Island [GAZ:00005915]                    ")</f>
        <v>Christmas Island [GAZ:00005915]                    </v>
      </c>
      <c r="C1600" s="29" t="str">
        <f>IFERROR(__xludf.DUMMYFUNCTION("""COMPUTED_VALUE"""),"GAZ:00005915")</f>
        <v>GAZ:00005915</v>
      </c>
      <c r="D1600"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600" s="29"/>
      <c r="F1600" s="29"/>
      <c r="G1600" s="29"/>
      <c r="H1600" s="54" t="s">
        <v>19</v>
      </c>
      <c r="I1600" s="54" t="s">
        <v>19</v>
      </c>
      <c r="J1600" s="54" t="s">
        <v>19</v>
      </c>
      <c r="K1600" s="52" t="str">
        <f t="shared" si="75"/>
        <v>International</v>
      </c>
    </row>
    <row r="1601">
      <c r="A1601" s="29"/>
      <c r="B1601" s="29" t="str">
        <f>IFERROR(__xludf.DUMMYFUNCTION("""COMPUTED_VALUE"""),"Clipperton Island [GAZ:00005838]                    ")</f>
        <v>Clipperton Island [GAZ:00005838]                    </v>
      </c>
      <c r="C1601" s="29" t="str">
        <f>IFERROR(__xludf.DUMMYFUNCTION("""COMPUTED_VALUE"""),"GAZ:00005838")</f>
        <v>GAZ:00005838</v>
      </c>
      <c r="D1601" s="29" t="str">
        <f>IFERROR(__xludf.DUMMYFUNCTION("""COMPUTED_VALUE"""),"A nine-square km coral atoll in the North Pacific Ocean, southwest of Mexico and west of Costa Rica.")</f>
        <v>A nine-square km coral atoll in the North Pacific Ocean, southwest of Mexico and west of Costa Rica.</v>
      </c>
      <c r="E1601" s="29"/>
      <c r="F1601" s="29"/>
      <c r="G1601" s="29"/>
      <c r="H1601" s="54" t="s">
        <v>19</v>
      </c>
      <c r="I1601" s="54" t="s">
        <v>19</v>
      </c>
      <c r="J1601" s="54" t="s">
        <v>19</v>
      </c>
      <c r="K1601" s="52" t="str">
        <f t="shared" si="75"/>
        <v>International</v>
      </c>
    </row>
    <row r="1602">
      <c r="A1602" s="29"/>
      <c r="B1602" s="29" t="str">
        <f>IFERROR(__xludf.DUMMYFUNCTION("""COMPUTED_VALUE"""),"Cocos Islands [GAZ:00009721]                    ")</f>
        <v>Cocos Islands [GAZ:00009721]                    </v>
      </c>
      <c r="C1602" s="29" t="str">
        <f>IFERROR(__xludf.DUMMYFUNCTION("""COMPUTED_VALUE"""),"GAZ:00009721")</f>
        <v>GAZ:00009721</v>
      </c>
      <c r="D1602"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602" s="29"/>
      <c r="F1602" s="29"/>
      <c r="G1602" s="29"/>
      <c r="H1602" s="54" t="s">
        <v>19</v>
      </c>
      <c r="I1602" s="54" t="s">
        <v>19</v>
      </c>
      <c r="J1602" s="54" t="s">
        <v>19</v>
      </c>
      <c r="K1602" s="52" t="str">
        <f t="shared" si="75"/>
        <v>International</v>
      </c>
    </row>
    <row r="1603">
      <c r="A1603" s="29"/>
      <c r="B1603" s="29" t="str">
        <f>IFERROR(__xludf.DUMMYFUNCTION("""COMPUTED_VALUE"""),"Colombia [GAZ:00002929]                    ")</f>
        <v>Colombia [GAZ:00002929]                    </v>
      </c>
      <c r="C1603" s="29" t="str">
        <f>IFERROR(__xludf.DUMMYFUNCTION("""COMPUTED_VALUE"""),"GAZ:00002929")</f>
        <v>GAZ:00002929</v>
      </c>
      <c r="D1603"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603" s="29"/>
      <c r="F1603" s="29"/>
      <c r="G1603" s="29"/>
      <c r="H1603" s="54" t="s">
        <v>19</v>
      </c>
      <c r="I1603" s="54" t="s">
        <v>19</v>
      </c>
      <c r="J1603" s="54" t="s">
        <v>19</v>
      </c>
      <c r="K1603" s="52" t="str">
        <f t="shared" si="75"/>
        <v>International</v>
      </c>
    </row>
    <row r="1604">
      <c r="A1604" s="29"/>
      <c r="B1604" s="29" t="str">
        <f>IFERROR(__xludf.DUMMYFUNCTION("""COMPUTED_VALUE"""),"Comoros [GAZ:00005820]                    ")</f>
        <v>Comoros [GAZ:00005820]                    </v>
      </c>
      <c r="C1604" s="29" t="str">
        <f>IFERROR(__xludf.DUMMYFUNCTION("""COMPUTED_VALUE"""),"GAZ:00005820")</f>
        <v>GAZ:00005820</v>
      </c>
      <c r="D1604"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604" s="29"/>
      <c r="F1604" s="29"/>
      <c r="G1604" s="29"/>
      <c r="H1604" s="54" t="s">
        <v>19</v>
      </c>
      <c r="I1604" s="54" t="s">
        <v>19</v>
      </c>
      <c r="J1604" s="54" t="s">
        <v>19</v>
      </c>
      <c r="K1604" s="52" t="str">
        <f t="shared" si="75"/>
        <v>International</v>
      </c>
    </row>
    <row r="1605">
      <c r="A1605" s="29"/>
      <c r="B1605" s="29" t="str">
        <f>IFERROR(__xludf.DUMMYFUNCTION("""COMPUTED_VALUE"""),"Cook Islands [GAZ:00053798]                    ")</f>
        <v>Cook Islands [GAZ:00053798]                    </v>
      </c>
      <c r="C1605" s="29" t="str">
        <f>IFERROR(__xludf.DUMMYFUNCTION("""COMPUTED_VALUE"""),"GAZ:00053798")</f>
        <v>GAZ:00053798</v>
      </c>
      <c r="D1605"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605" s="29"/>
      <c r="F1605" s="29"/>
      <c r="G1605" s="29"/>
      <c r="H1605" s="54" t="s">
        <v>19</v>
      </c>
      <c r="I1605" s="54" t="s">
        <v>19</v>
      </c>
      <c r="J1605" s="54" t="s">
        <v>19</v>
      </c>
      <c r="K1605" s="52" t="str">
        <f t="shared" si="75"/>
        <v>International</v>
      </c>
    </row>
    <row r="1606">
      <c r="A1606" s="29"/>
      <c r="B1606" s="29" t="str">
        <f>IFERROR(__xludf.DUMMYFUNCTION("""COMPUTED_VALUE"""),"Coral Sea Islands [GAZ:00005917]                    ")</f>
        <v>Coral Sea Islands [GAZ:00005917]                    </v>
      </c>
      <c r="C1606" s="29" t="str">
        <f>IFERROR(__xludf.DUMMYFUNCTION("""COMPUTED_VALUE"""),"GAZ:00005917")</f>
        <v>GAZ:00005917</v>
      </c>
      <c r="D1606"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606" s="29"/>
      <c r="F1606" s="29"/>
      <c r="G1606" s="29"/>
      <c r="H1606" s="54" t="s">
        <v>19</v>
      </c>
      <c r="I1606" s="54" t="s">
        <v>19</v>
      </c>
      <c r="J1606" s="54" t="s">
        <v>19</v>
      </c>
      <c r="K1606" s="52" t="str">
        <f t="shared" si="75"/>
        <v>International</v>
      </c>
    </row>
    <row r="1607">
      <c r="A1607" s="29"/>
      <c r="B1607" s="29" t="str">
        <f>IFERROR(__xludf.DUMMYFUNCTION("""COMPUTED_VALUE"""),"Costa Rica [GAZ:00002901]                    ")</f>
        <v>Costa Rica [GAZ:00002901]                    </v>
      </c>
      <c r="C1607" s="29" t="str">
        <f>IFERROR(__xludf.DUMMYFUNCTION("""COMPUTED_VALUE"""),"GAZ:00002901")</f>
        <v>GAZ:00002901</v>
      </c>
      <c r="D1607"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607" s="29"/>
      <c r="F1607" s="29"/>
      <c r="G1607" s="29"/>
      <c r="H1607" s="54" t="s">
        <v>19</v>
      </c>
      <c r="I1607" s="54" t="s">
        <v>19</v>
      </c>
      <c r="J1607" s="54" t="s">
        <v>19</v>
      </c>
      <c r="K1607" s="52" t="str">
        <f t="shared" si="75"/>
        <v>International</v>
      </c>
    </row>
    <row r="1608">
      <c r="A1608" s="29"/>
      <c r="B1608" s="29" t="str">
        <f>IFERROR(__xludf.DUMMYFUNCTION("""COMPUTED_VALUE"""),"Cote d'Ivoire [GAZ:00000906]                    ")</f>
        <v>Cote d'Ivoire [GAZ:00000906]                    </v>
      </c>
      <c r="C1608" s="29" t="str">
        <f>IFERROR(__xludf.DUMMYFUNCTION("""COMPUTED_VALUE"""),"GAZ:00000906")</f>
        <v>GAZ:00000906</v>
      </c>
      <c r="D1608"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608" s="29"/>
      <c r="F1608" s="29"/>
      <c r="G1608" s="29"/>
      <c r="H1608" s="54" t="s">
        <v>19</v>
      </c>
      <c r="I1608" s="54" t="s">
        <v>19</v>
      </c>
      <c r="J1608" s="54" t="s">
        <v>19</v>
      </c>
      <c r="K1608" s="52" t="str">
        <f t="shared" si="75"/>
        <v>International</v>
      </c>
    </row>
    <row r="1609">
      <c r="A1609" s="29"/>
      <c r="B1609" s="29" t="str">
        <f>IFERROR(__xludf.DUMMYFUNCTION("""COMPUTED_VALUE"""),"Croatia [GAZ:00002719]                    ")</f>
        <v>Croatia [GAZ:00002719]                    </v>
      </c>
      <c r="C1609" s="29" t="str">
        <f>IFERROR(__xludf.DUMMYFUNCTION("""COMPUTED_VALUE"""),"GAZ:00002719")</f>
        <v>GAZ:00002719</v>
      </c>
      <c r="D1609"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609" s="29"/>
      <c r="F1609" s="29"/>
      <c r="G1609" s="29"/>
      <c r="H1609" s="54" t="s">
        <v>19</v>
      </c>
      <c r="I1609" s="54" t="s">
        <v>19</v>
      </c>
      <c r="J1609" s="54" t="s">
        <v>19</v>
      </c>
      <c r="K1609" s="52" t="str">
        <f t="shared" si="75"/>
        <v>International</v>
      </c>
    </row>
    <row r="1610">
      <c r="A1610" s="29"/>
      <c r="B1610" s="29" t="str">
        <f>IFERROR(__xludf.DUMMYFUNCTION("""COMPUTED_VALUE"""),"Cuba [GAZ:00003762]                    ")</f>
        <v>Cuba [GAZ:00003762]                    </v>
      </c>
      <c r="C1610" s="29" t="str">
        <f>IFERROR(__xludf.DUMMYFUNCTION("""COMPUTED_VALUE"""),"GAZ:00003762")</f>
        <v>GAZ:00003762</v>
      </c>
      <c r="D1610"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610" s="29"/>
      <c r="F1610" s="29"/>
      <c r="G1610" s="29"/>
      <c r="H1610" s="54" t="s">
        <v>19</v>
      </c>
      <c r="I1610" s="54" t="s">
        <v>19</v>
      </c>
      <c r="J1610" s="54" t="s">
        <v>19</v>
      </c>
      <c r="K1610" s="52" t="str">
        <f t="shared" si="75"/>
        <v>International</v>
      </c>
    </row>
    <row r="1611">
      <c r="A1611" s="29"/>
      <c r="B1611" s="29" t="str">
        <f>IFERROR(__xludf.DUMMYFUNCTION("""COMPUTED_VALUE"""),"Curacao [GAZ:00012582]                    ")</f>
        <v>Curacao [GAZ:00012582]                    </v>
      </c>
      <c r="C1611" s="29" t="str">
        <f>IFERROR(__xludf.DUMMYFUNCTION("""COMPUTED_VALUE"""),"GAZ:00012582")</f>
        <v>GAZ:00012582</v>
      </c>
      <c r="D1611" s="29" t="str">
        <f>IFERROR(__xludf.DUMMYFUNCTION("""COMPUTED_VALUE"""),"One of five island areas of the Netherlands Antilles.")</f>
        <v>One of five island areas of the Netherlands Antilles.</v>
      </c>
      <c r="E1611" s="29"/>
      <c r="F1611" s="29"/>
      <c r="G1611" s="29"/>
      <c r="H1611" s="54" t="s">
        <v>19</v>
      </c>
      <c r="I1611" s="54" t="s">
        <v>19</v>
      </c>
      <c r="J1611" s="54" t="s">
        <v>19</v>
      </c>
      <c r="K1611" s="52" t="str">
        <f t="shared" si="75"/>
        <v>International</v>
      </c>
    </row>
    <row r="1612">
      <c r="A1612" s="29"/>
      <c r="B1612" s="29" t="str">
        <f>IFERROR(__xludf.DUMMYFUNCTION("""COMPUTED_VALUE"""),"Cyprus [GAZ:00004006]                    ")</f>
        <v>Cyprus [GAZ:00004006]                    </v>
      </c>
      <c r="C1612" s="29" t="str">
        <f>IFERROR(__xludf.DUMMYFUNCTION("""COMPUTED_VALUE"""),"GAZ:00004006")</f>
        <v>GAZ:00004006</v>
      </c>
      <c r="D1612"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612" s="29"/>
      <c r="F1612" s="29"/>
      <c r="G1612" s="29"/>
      <c r="H1612" s="54" t="s">
        <v>19</v>
      </c>
      <c r="I1612" s="54" t="s">
        <v>19</v>
      </c>
      <c r="J1612" s="54" t="s">
        <v>19</v>
      </c>
      <c r="K1612" s="52" t="str">
        <f t="shared" si="75"/>
        <v>International</v>
      </c>
    </row>
    <row r="1613">
      <c r="A1613" s="29"/>
      <c r="B1613" s="29" t="str">
        <f>IFERROR(__xludf.DUMMYFUNCTION("""COMPUTED_VALUE"""),"Czech Republic [GAZ:00002954]                    ")</f>
        <v>Czech Republic [GAZ:00002954]                    </v>
      </c>
      <c r="C1613" s="29" t="str">
        <f>IFERROR(__xludf.DUMMYFUNCTION("""COMPUTED_VALUE"""),"GAZ:00002954")</f>
        <v>GAZ:00002954</v>
      </c>
      <c r="D1613"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613" s="29"/>
      <c r="F1613" s="29"/>
      <c r="G1613" s="29"/>
      <c r="H1613" s="54" t="s">
        <v>19</v>
      </c>
      <c r="I1613" s="54" t="s">
        <v>19</v>
      </c>
      <c r="J1613" s="54" t="s">
        <v>19</v>
      </c>
      <c r="K1613" s="52" t="str">
        <f t="shared" si="75"/>
        <v>International</v>
      </c>
    </row>
    <row r="1614">
      <c r="A1614" s="29"/>
      <c r="B1614" s="29" t="str">
        <f>IFERROR(__xludf.DUMMYFUNCTION("""COMPUTED_VALUE"""),"Democratic Republic of the Congo [GAZ:00001086]                    ")</f>
        <v>Democratic Republic of the Congo [GAZ:00001086]                    </v>
      </c>
      <c r="C1614" s="29" t="str">
        <f>IFERROR(__xludf.DUMMYFUNCTION("""COMPUTED_VALUE"""),"GAZ:00001086")</f>
        <v>GAZ:00001086</v>
      </c>
      <c r="D1614"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614" s="29"/>
      <c r="F1614" s="29"/>
      <c r="G1614" s="29"/>
      <c r="H1614" s="54" t="s">
        <v>19</v>
      </c>
      <c r="I1614" s="54" t="s">
        <v>19</v>
      </c>
      <c r="J1614" s="54" t="s">
        <v>19</v>
      </c>
      <c r="K1614" s="52" t="str">
        <f t="shared" si="75"/>
        <v>International</v>
      </c>
    </row>
    <row r="1615">
      <c r="A1615" s="29"/>
      <c r="B1615" s="29" t="str">
        <f>IFERROR(__xludf.DUMMYFUNCTION("""COMPUTED_VALUE"""),"Denmark [GAZ:00005852]                    ")</f>
        <v>Denmark [GAZ:00005852]                    </v>
      </c>
      <c r="C1615" s="29" t="str">
        <f>IFERROR(__xludf.DUMMYFUNCTION("""COMPUTED_VALUE"""),"GAZ:00005852")</f>
        <v>GAZ:00005852</v>
      </c>
      <c r="D1615"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615" s="29"/>
      <c r="F1615" s="29"/>
      <c r="G1615" s="29"/>
      <c r="H1615" s="54" t="s">
        <v>19</v>
      </c>
      <c r="I1615" s="54" t="s">
        <v>19</v>
      </c>
      <c r="J1615" s="54" t="s">
        <v>19</v>
      </c>
      <c r="K1615" s="52" t="str">
        <f t="shared" si="75"/>
        <v>International</v>
      </c>
    </row>
    <row r="1616">
      <c r="A1616" s="29"/>
      <c r="B1616" s="29" t="str">
        <f>IFERROR(__xludf.DUMMYFUNCTION("""COMPUTED_VALUE"""),"Djibouti [GAZ:00000582]                    ")</f>
        <v>Djibouti [GAZ:00000582]                    </v>
      </c>
      <c r="C1616" s="29" t="str">
        <f>IFERROR(__xludf.DUMMYFUNCTION("""COMPUTED_VALUE"""),"GAZ:00000582")</f>
        <v>GAZ:00000582</v>
      </c>
      <c r="D1616"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616" s="29"/>
      <c r="F1616" s="29"/>
      <c r="G1616" s="29"/>
      <c r="H1616" s="54" t="s">
        <v>19</v>
      </c>
      <c r="I1616" s="54" t="s">
        <v>19</v>
      </c>
      <c r="J1616" s="54" t="s">
        <v>19</v>
      </c>
      <c r="K1616" s="52" t="str">
        <f t="shared" si="75"/>
        <v>International</v>
      </c>
    </row>
    <row r="1617">
      <c r="A1617" s="29"/>
      <c r="B1617" s="29" t="str">
        <f>IFERROR(__xludf.DUMMYFUNCTION("""COMPUTED_VALUE"""),"Dominica [GAZ:00006890]                    ")</f>
        <v>Dominica [GAZ:00006890]                    </v>
      </c>
      <c r="C1617" s="29" t="str">
        <f>IFERROR(__xludf.DUMMYFUNCTION("""COMPUTED_VALUE"""),"GAZ:00006890")</f>
        <v>GAZ:00006890</v>
      </c>
      <c r="D1617" s="29" t="str">
        <f>IFERROR(__xludf.DUMMYFUNCTION("""COMPUTED_VALUE"""),"An island nation in the Caribbean Sea. Dominica is divided into ten parishes.")</f>
        <v>An island nation in the Caribbean Sea. Dominica is divided into ten parishes.</v>
      </c>
      <c r="E1617" s="29"/>
      <c r="F1617" s="29"/>
      <c r="G1617" s="29"/>
      <c r="H1617" s="54" t="s">
        <v>19</v>
      </c>
      <c r="I1617" s="54" t="s">
        <v>19</v>
      </c>
      <c r="J1617" s="54" t="s">
        <v>19</v>
      </c>
      <c r="K1617" s="52" t="str">
        <f t="shared" si="75"/>
        <v>International</v>
      </c>
    </row>
    <row r="1618">
      <c r="A1618" s="29"/>
      <c r="B1618" s="29" t="str">
        <f>IFERROR(__xludf.DUMMYFUNCTION("""COMPUTED_VALUE"""),"Dominican Republic [GAZ:00003952]                    ")</f>
        <v>Dominican Republic [GAZ:00003952]                    </v>
      </c>
      <c r="C1618" s="29" t="str">
        <f>IFERROR(__xludf.DUMMYFUNCTION("""COMPUTED_VALUE"""),"GAZ:00003952")</f>
        <v>GAZ:00003952</v>
      </c>
      <c r="D1618"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618" s="29"/>
      <c r="F1618" s="29"/>
      <c r="G1618" s="29"/>
      <c r="H1618" s="54" t="s">
        <v>19</v>
      </c>
      <c r="I1618" s="54" t="s">
        <v>19</v>
      </c>
      <c r="J1618" s="54" t="s">
        <v>19</v>
      </c>
      <c r="K1618" s="52" t="str">
        <f t="shared" si="75"/>
        <v>International</v>
      </c>
    </row>
    <row r="1619">
      <c r="A1619" s="29"/>
      <c r="B1619" s="29" t="str">
        <f>IFERROR(__xludf.DUMMYFUNCTION("""COMPUTED_VALUE"""),"Ecuador [GAZ:00002912]                    ")</f>
        <v>Ecuador [GAZ:00002912]                    </v>
      </c>
      <c r="C1619" s="29" t="str">
        <f>IFERROR(__xludf.DUMMYFUNCTION("""COMPUTED_VALUE"""),"GAZ:00002912")</f>
        <v>GAZ:00002912</v>
      </c>
      <c r="D1619"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619" s="29"/>
      <c r="F1619" s="29"/>
      <c r="G1619" s="29"/>
      <c r="H1619" s="54" t="s">
        <v>19</v>
      </c>
      <c r="I1619" s="54" t="s">
        <v>19</v>
      </c>
      <c r="J1619" s="54" t="s">
        <v>19</v>
      </c>
      <c r="K1619" s="52" t="str">
        <f t="shared" si="75"/>
        <v>International</v>
      </c>
    </row>
    <row r="1620">
      <c r="A1620" s="29"/>
      <c r="B1620" s="29" t="str">
        <f>IFERROR(__xludf.DUMMYFUNCTION("""COMPUTED_VALUE"""),"Egypt [GAZ:00003934]                    ")</f>
        <v>Egypt [GAZ:00003934]                    </v>
      </c>
      <c r="C1620" s="29" t="str">
        <f>IFERROR(__xludf.DUMMYFUNCTION("""COMPUTED_VALUE"""),"GAZ:00003934")</f>
        <v>GAZ:00003934</v>
      </c>
      <c r="D1620"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620" s="29"/>
      <c r="F1620" s="29"/>
      <c r="G1620" s="29"/>
      <c r="H1620" s="54" t="s">
        <v>19</v>
      </c>
      <c r="I1620" s="54" t="s">
        <v>19</v>
      </c>
      <c r="J1620" s="54" t="s">
        <v>19</v>
      </c>
      <c r="K1620" s="52" t="str">
        <f t="shared" si="75"/>
        <v>International</v>
      </c>
    </row>
    <row r="1621">
      <c r="A1621" s="29"/>
      <c r="B1621" s="29" t="str">
        <f>IFERROR(__xludf.DUMMYFUNCTION("""COMPUTED_VALUE"""),"El Salvador [GAZ:00002935]                    ")</f>
        <v>El Salvador [GAZ:00002935]                    </v>
      </c>
      <c r="C1621" s="29" t="str">
        <f>IFERROR(__xludf.DUMMYFUNCTION("""COMPUTED_VALUE"""),"GAZ:00002935")</f>
        <v>GAZ:00002935</v>
      </c>
      <c r="D1621"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621" s="29"/>
      <c r="F1621" s="29"/>
      <c r="G1621" s="29"/>
      <c r="H1621" s="54" t="s">
        <v>19</v>
      </c>
      <c r="I1621" s="54" t="s">
        <v>19</v>
      </c>
      <c r="J1621" s="54" t="s">
        <v>19</v>
      </c>
      <c r="K1621" s="52" t="str">
        <f t="shared" si="75"/>
        <v>International</v>
      </c>
    </row>
    <row r="1622">
      <c r="A1622" s="29"/>
      <c r="B1622" s="29" t="str">
        <f>IFERROR(__xludf.DUMMYFUNCTION("""COMPUTED_VALUE"""),"Equatorial Guinea [GAZ:00001091]                    ")</f>
        <v>Equatorial Guinea [GAZ:00001091]                    </v>
      </c>
      <c r="C1622" s="29" t="str">
        <f>IFERROR(__xludf.DUMMYFUNCTION("""COMPUTED_VALUE"""),"GAZ:00001091")</f>
        <v>GAZ:00001091</v>
      </c>
      <c r="D1622"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622" s="29"/>
      <c r="F1622" s="29"/>
      <c r="G1622" s="29"/>
      <c r="H1622" s="54" t="s">
        <v>19</v>
      </c>
      <c r="I1622" s="54" t="s">
        <v>19</v>
      </c>
      <c r="J1622" s="54" t="s">
        <v>19</v>
      </c>
      <c r="K1622" s="52" t="str">
        <f t="shared" si="75"/>
        <v>International</v>
      </c>
    </row>
    <row r="1623">
      <c r="A1623" s="29"/>
      <c r="B1623" s="29" t="str">
        <f>IFERROR(__xludf.DUMMYFUNCTION("""COMPUTED_VALUE"""),"Eritrea [GAZ:00000581]                    ")</f>
        <v>Eritrea [GAZ:00000581]                    </v>
      </c>
      <c r="C1623" s="29" t="str">
        <f>IFERROR(__xludf.DUMMYFUNCTION("""COMPUTED_VALUE"""),"GAZ:00000581")</f>
        <v>GAZ:00000581</v>
      </c>
      <c r="D1623"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623" s="29"/>
      <c r="F1623" s="29"/>
      <c r="G1623" s="29"/>
      <c r="H1623" s="54" t="s">
        <v>19</v>
      </c>
      <c r="I1623" s="54" t="s">
        <v>19</v>
      </c>
      <c r="J1623" s="54" t="s">
        <v>19</v>
      </c>
      <c r="K1623" s="52" t="str">
        <f t="shared" si="75"/>
        <v>International</v>
      </c>
    </row>
    <row r="1624">
      <c r="A1624" s="29"/>
      <c r="B1624" s="29" t="str">
        <f>IFERROR(__xludf.DUMMYFUNCTION("""COMPUTED_VALUE"""),"Estonia [GAZ:00002959]                    ")</f>
        <v>Estonia [GAZ:00002959]                    </v>
      </c>
      <c r="C1624" s="29" t="str">
        <f>IFERROR(__xludf.DUMMYFUNCTION("""COMPUTED_VALUE"""),"GAZ:00002959")</f>
        <v>GAZ:00002959</v>
      </c>
      <c r="D1624"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624" s="29"/>
      <c r="F1624" s="29"/>
      <c r="G1624" s="29"/>
      <c r="H1624" s="54" t="s">
        <v>19</v>
      </c>
      <c r="I1624" s="54" t="s">
        <v>19</v>
      </c>
      <c r="J1624" s="54" t="s">
        <v>19</v>
      </c>
      <c r="K1624" s="52" t="str">
        <f t="shared" si="75"/>
        <v>International</v>
      </c>
    </row>
    <row r="1625">
      <c r="A1625" s="29"/>
      <c r="B1625" s="29" t="str">
        <f>IFERROR(__xludf.DUMMYFUNCTION("""COMPUTED_VALUE"""),"Eswatini [GAZ:00001099]                    ")</f>
        <v>Eswatini [GAZ:00001099]                    </v>
      </c>
      <c r="C1625" s="29" t="str">
        <f>IFERROR(__xludf.DUMMYFUNCTION("""COMPUTED_VALUE"""),"GAZ:00001099")</f>
        <v>GAZ:00001099</v>
      </c>
      <c r="D1625"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25" s="29"/>
      <c r="F1625" s="29"/>
      <c r="G1625" s="29"/>
      <c r="H1625" s="54" t="s">
        <v>19</v>
      </c>
      <c r="I1625" s="54" t="s">
        <v>19</v>
      </c>
      <c r="J1625" s="54" t="s">
        <v>19</v>
      </c>
      <c r="K1625" s="52" t="str">
        <f t="shared" si="75"/>
        <v>International</v>
      </c>
    </row>
    <row r="1626">
      <c r="A1626" s="29"/>
      <c r="B1626" s="29" t="str">
        <f>IFERROR(__xludf.DUMMYFUNCTION("""COMPUTED_VALUE"""),"Ethiopia [GAZ:00000567]                    ")</f>
        <v>Ethiopia [GAZ:00000567]                    </v>
      </c>
      <c r="C1626" s="29" t="str">
        <f>IFERROR(__xludf.DUMMYFUNCTION("""COMPUTED_VALUE"""),"GAZ:00000567")</f>
        <v>GAZ:00000567</v>
      </c>
      <c r="D1626"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626" s="29"/>
      <c r="F1626" s="29"/>
      <c r="G1626" s="29"/>
      <c r="H1626" s="54" t="s">
        <v>19</v>
      </c>
      <c r="I1626" s="54" t="s">
        <v>19</v>
      </c>
      <c r="J1626" s="54" t="s">
        <v>19</v>
      </c>
      <c r="K1626" s="52" t="str">
        <f t="shared" si="75"/>
        <v>International</v>
      </c>
    </row>
    <row r="1627">
      <c r="A1627" s="29"/>
      <c r="B1627" s="29" t="str">
        <f>IFERROR(__xludf.DUMMYFUNCTION("""COMPUTED_VALUE"""),"Europa Island [GAZ:00005811]                    ")</f>
        <v>Europa Island [GAZ:00005811]                    </v>
      </c>
      <c r="C1627" s="29" t="str">
        <f>IFERROR(__xludf.DUMMYFUNCTION("""COMPUTED_VALUE"""),"GAZ:00005811")</f>
        <v>GAZ:00005811</v>
      </c>
      <c r="D1627"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627" s="29"/>
      <c r="F1627" s="29"/>
      <c r="G1627" s="29"/>
      <c r="H1627" s="54" t="s">
        <v>19</v>
      </c>
      <c r="I1627" s="54" t="s">
        <v>19</v>
      </c>
      <c r="J1627" s="54" t="s">
        <v>19</v>
      </c>
      <c r="K1627" s="52" t="str">
        <f t="shared" si="75"/>
        <v>International</v>
      </c>
    </row>
    <row r="1628">
      <c r="A1628" s="29"/>
      <c r="B1628" s="29" t="str">
        <f>IFERROR(__xludf.DUMMYFUNCTION("""COMPUTED_VALUE"""),"Falkland Islands (Islas Malvinas) [GAZ:00001412]                    ")</f>
        <v>Falkland Islands (Islas Malvinas) [GAZ:00001412]                    </v>
      </c>
      <c r="C1628" s="29" t="str">
        <f>IFERROR(__xludf.DUMMYFUNCTION("""COMPUTED_VALUE"""),"GAZ:00001412")</f>
        <v>GAZ:00001412</v>
      </c>
      <c r="D1628"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628" s="29"/>
      <c r="F1628" s="29"/>
      <c r="G1628" s="29"/>
      <c r="H1628" s="54" t="s">
        <v>19</v>
      </c>
      <c r="I1628" s="54" t="s">
        <v>19</v>
      </c>
      <c r="J1628" s="54" t="s">
        <v>19</v>
      </c>
      <c r="K1628" s="52" t="str">
        <f t="shared" si="75"/>
        <v>International</v>
      </c>
    </row>
    <row r="1629">
      <c r="A1629" s="29"/>
      <c r="B1629" s="29" t="str">
        <f>IFERROR(__xludf.DUMMYFUNCTION("""COMPUTED_VALUE"""),"Faroe Islands [GAZ:00059206]                    ")</f>
        <v>Faroe Islands [GAZ:00059206]                    </v>
      </c>
      <c r="C1629" s="29" t="str">
        <f>IFERROR(__xludf.DUMMYFUNCTION("""COMPUTED_VALUE"""),"GAZ:00059206")</f>
        <v>GAZ:00059206</v>
      </c>
      <c r="D1629"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629" s="29"/>
      <c r="F1629" s="29"/>
      <c r="G1629" s="29"/>
      <c r="H1629" s="54" t="s">
        <v>19</v>
      </c>
      <c r="I1629" s="54" t="s">
        <v>19</v>
      </c>
      <c r="J1629" s="54" t="s">
        <v>19</v>
      </c>
      <c r="K1629" s="52" t="str">
        <f t="shared" si="75"/>
        <v>International</v>
      </c>
    </row>
    <row r="1630">
      <c r="A1630" s="29"/>
      <c r="B1630" s="29" t="str">
        <f>IFERROR(__xludf.DUMMYFUNCTION("""COMPUTED_VALUE"""),"Fiji [GAZ:00006891]                    ")</f>
        <v>Fiji [GAZ:00006891]                    </v>
      </c>
      <c r="C1630" s="29" t="str">
        <f>IFERROR(__xludf.DUMMYFUNCTION("""COMPUTED_VALUE"""),"GAZ:00006891")</f>
        <v>GAZ:00006891</v>
      </c>
      <c r="D1630"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630" s="29"/>
      <c r="F1630" s="29"/>
      <c r="G1630" s="29"/>
      <c r="H1630" s="54" t="s">
        <v>19</v>
      </c>
      <c r="I1630" s="54" t="s">
        <v>19</v>
      </c>
      <c r="J1630" s="54" t="s">
        <v>19</v>
      </c>
      <c r="K1630" s="52" t="str">
        <f t="shared" si="75"/>
        <v>International</v>
      </c>
    </row>
    <row r="1631">
      <c r="A1631" s="29"/>
      <c r="B1631" s="29" t="str">
        <f>IFERROR(__xludf.DUMMYFUNCTION("""COMPUTED_VALUE"""),"Finland [GAZ:00002937]                    ")</f>
        <v>Finland [GAZ:00002937]                    </v>
      </c>
      <c r="C1631" s="29" t="str">
        <f>IFERROR(__xludf.DUMMYFUNCTION("""COMPUTED_VALUE"""),"GAZ:00002937")</f>
        <v>GAZ:00002937</v>
      </c>
      <c r="D1631"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631" s="29"/>
      <c r="F1631" s="29"/>
      <c r="G1631" s="29"/>
      <c r="H1631" s="54" t="s">
        <v>19</v>
      </c>
      <c r="I1631" s="54" t="s">
        <v>19</v>
      </c>
      <c r="J1631" s="54" t="s">
        <v>19</v>
      </c>
      <c r="K1631" s="52" t="str">
        <f t="shared" si="75"/>
        <v>International</v>
      </c>
    </row>
    <row r="1632">
      <c r="A1632" s="29"/>
      <c r="B1632" s="29" t="str">
        <f>IFERROR(__xludf.DUMMYFUNCTION("""COMPUTED_VALUE"""),"France [GAZ:00003940]                    ")</f>
        <v>France [GAZ:00003940]                    </v>
      </c>
      <c r="C1632" s="29" t="str">
        <f>IFERROR(__xludf.DUMMYFUNCTION("""COMPUTED_VALUE"""),"GAZ:00003940")</f>
        <v>GAZ:00003940</v>
      </c>
      <c r="D1632"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632" s="29"/>
      <c r="F1632" s="29"/>
      <c r="G1632" s="29"/>
      <c r="H1632" s="54" t="s">
        <v>19</v>
      </c>
      <c r="I1632" s="54" t="s">
        <v>19</v>
      </c>
      <c r="J1632" s="54" t="s">
        <v>19</v>
      </c>
      <c r="K1632" s="52" t="str">
        <f t="shared" si="75"/>
        <v>International</v>
      </c>
    </row>
    <row r="1633">
      <c r="A1633" s="29"/>
      <c r="B1633" s="29" t="str">
        <f>IFERROR(__xludf.DUMMYFUNCTION("""COMPUTED_VALUE"""),"French Guiana [GAZ:00002516]                    ")</f>
        <v>French Guiana [GAZ:00002516]                    </v>
      </c>
      <c r="C1633" s="29" t="str">
        <f>IFERROR(__xludf.DUMMYFUNCTION("""COMPUTED_VALUE"""),"GAZ:00002516")</f>
        <v>GAZ:00002516</v>
      </c>
      <c r="D1633"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633" s="29"/>
      <c r="F1633" s="29"/>
      <c r="G1633" s="29"/>
      <c r="H1633" s="54" t="s">
        <v>19</v>
      </c>
      <c r="I1633" s="54" t="s">
        <v>19</v>
      </c>
      <c r="J1633" s="54" t="s">
        <v>19</v>
      </c>
      <c r="K1633" s="52" t="str">
        <f t="shared" si="75"/>
        <v>International</v>
      </c>
    </row>
    <row r="1634">
      <c r="A1634" s="29"/>
      <c r="B1634" s="29" t="str">
        <f>IFERROR(__xludf.DUMMYFUNCTION("""COMPUTED_VALUE"""),"French Polynesia [GAZ:00002918]                    ")</f>
        <v>French Polynesia [GAZ:00002918]                    </v>
      </c>
      <c r="C1634" s="29" t="str">
        <f>IFERROR(__xludf.DUMMYFUNCTION("""COMPUTED_VALUE"""),"GAZ:00002918")</f>
        <v>GAZ:00002918</v>
      </c>
      <c r="D1634"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634" s="29"/>
      <c r="F1634" s="29"/>
      <c r="G1634" s="29"/>
      <c r="H1634" s="54" t="s">
        <v>19</v>
      </c>
      <c r="I1634" s="54" t="s">
        <v>19</v>
      </c>
      <c r="J1634" s="54" t="s">
        <v>19</v>
      </c>
      <c r="K1634" s="52" t="str">
        <f t="shared" si="75"/>
        <v>International</v>
      </c>
    </row>
    <row r="1635">
      <c r="A1635" s="29"/>
      <c r="B1635" s="29" t="str">
        <f>IFERROR(__xludf.DUMMYFUNCTION("""COMPUTED_VALUE"""),"French Southern and Antarctic Lands [GAZ:00003753]                    ")</f>
        <v>French Southern and Antarctic Lands [GAZ:00003753]                    </v>
      </c>
      <c r="C1635" s="29" t="str">
        <f>IFERROR(__xludf.DUMMYFUNCTION("""COMPUTED_VALUE"""),"GAZ:00003753")</f>
        <v>GAZ:00003753</v>
      </c>
      <c r="D1635"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635" s="29"/>
      <c r="F1635" s="29"/>
      <c r="G1635" s="29"/>
      <c r="H1635" s="54" t="s">
        <v>19</v>
      </c>
      <c r="I1635" s="54" t="s">
        <v>19</v>
      </c>
      <c r="J1635" s="54" t="s">
        <v>19</v>
      </c>
      <c r="K1635" s="52" t="str">
        <f t="shared" si="75"/>
        <v>International</v>
      </c>
    </row>
    <row r="1636">
      <c r="A1636" s="29"/>
      <c r="B1636" s="29" t="str">
        <f>IFERROR(__xludf.DUMMYFUNCTION("""COMPUTED_VALUE"""),"Gabon [GAZ:00001092]                    ")</f>
        <v>Gabon [GAZ:00001092]                    </v>
      </c>
      <c r="C1636" s="29" t="str">
        <f>IFERROR(__xludf.DUMMYFUNCTION("""COMPUTED_VALUE"""),"GAZ:00001092")</f>
        <v>GAZ:00001092</v>
      </c>
      <c r="D1636"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636" s="29"/>
      <c r="F1636" s="29"/>
      <c r="G1636" s="29"/>
      <c r="H1636" s="54" t="s">
        <v>19</v>
      </c>
      <c r="I1636" s="54" t="s">
        <v>19</v>
      </c>
      <c r="J1636" s="54" t="s">
        <v>19</v>
      </c>
      <c r="K1636" s="52" t="str">
        <f t="shared" si="75"/>
        <v>International</v>
      </c>
    </row>
    <row r="1637">
      <c r="A1637" s="53"/>
      <c r="B1637" s="53" t="str">
        <f>IFERROR(__xludf.DUMMYFUNCTION("""COMPUTED_VALUE"""),"Gambia [GAZ:00000907]                    ")</f>
        <v>Gambia [GAZ:00000907]                    </v>
      </c>
      <c r="C1637" s="53" t="str">
        <f>IFERROR(__xludf.DUMMYFUNCTION("""COMPUTED_VALUE"""),"GAZ:00000907")</f>
        <v>GAZ:00000907</v>
      </c>
      <c r="D1637"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H1637" s="54" t="s">
        <v>19</v>
      </c>
      <c r="I1637" s="54" t="s">
        <v>19</v>
      </c>
      <c r="J1637" s="54" t="s">
        <v>19</v>
      </c>
      <c r="K1637" s="52" t="str">
        <f t="shared" si="75"/>
        <v>International</v>
      </c>
    </row>
    <row r="1638">
      <c r="A1638" s="53"/>
      <c r="B1638" s="53" t="str">
        <f>IFERROR(__xludf.DUMMYFUNCTION("""COMPUTED_VALUE"""),"Gaza Strip [GAZ:00009571]                    ")</f>
        <v>Gaza Strip [GAZ:00009571]                    </v>
      </c>
      <c r="C1638" s="53" t="str">
        <f>IFERROR(__xludf.DUMMYFUNCTION("""COMPUTED_VALUE"""),"GAZ:00009571")</f>
        <v>GAZ:00009571</v>
      </c>
      <c r="D1638"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H1638" s="54" t="s">
        <v>19</v>
      </c>
      <c r="I1638" s="54" t="s">
        <v>19</v>
      </c>
      <c r="J1638" s="54" t="s">
        <v>19</v>
      </c>
      <c r="K1638" s="52" t="str">
        <f t="shared" si="75"/>
        <v>International</v>
      </c>
    </row>
    <row r="1639">
      <c r="A1639" s="53"/>
      <c r="B1639" s="53" t="str">
        <f>IFERROR(__xludf.DUMMYFUNCTION("""COMPUTED_VALUE"""),"Georgia [GAZ:00004942]                    ")</f>
        <v>Georgia [GAZ:00004942]                    </v>
      </c>
      <c r="C1639" s="53" t="str">
        <f>IFERROR(__xludf.DUMMYFUNCTION("""COMPUTED_VALUE"""),"GAZ:00004942")</f>
        <v>GAZ:00004942</v>
      </c>
      <c r="D1639"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639" s="54" t="s">
        <v>19</v>
      </c>
      <c r="I1639" s="54" t="s">
        <v>19</v>
      </c>
      <c r="J1639" s="54" t="s">
        <v>19</v>
      </c>
      <c r="K1639" s="52" t="str">
        <f t="shared" si="75"/>
        <v>International</v>
      </c>
    </row>
    <row r="1640">
      <c r="A1640" s="53"/>
      <c r="B1640" s="53" t="str">
        <f>IFERROR(__xludf.DUMMYFUNCTION("""COMPUTED_VALUE"""),"Germany [GAZ:00002646]                    ")</f>
        <v>Germany [GAZ:00002646]                    </v>
      </c>
      <c r="C1640" s="53" t="str">
        <f>IFERROR(__xludf.DUMMYFUNCTION("""COMPUTED_VALUE"""),"GAZ:00002646")</f>
        <v>GAZ:00002646</v>
      </c>
      <c r="D1640"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640" s="54" t="s">
        <v>19</v>
      </c>
      <c r="I1640" s="54" t="s">
        <v>19</v>
      </c>
      <c r="J1640" s="54" t="s">
        <v>19</v>
      </c>
      <c r="K1640" s="52" t="str">
        <f t="shared" si="75"/>
        <v>International</v>
      </c>
    </row>
    <row r="1641">
      <c r="A1641" s="53"/>
      <c r="B1641" s="53" t="str">
        <f>IFERROR(__xludf.DUMMYFUNCTION("""COMPUTED_VALUE"""),"Ghana [GAZ:00000908]                    ")</f>
        <v>Ghana [GAZ:00000908]                    </v>
      </c>
      <c r="C1641" s="53" t="str">
        <f>IFERROR(__xludf.DUMMYFUNCTION("""COMPUTED_VALUE"""),"GAZ:00000908")</f>
        <v>GAZ:00000908</v>
      </c>
      <c r="D1641"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641" s="54" t="s">
        <v>19</v>
      </c>
      <c r="I1641" s="54" t="s">
        <v>19</v>
      </c>
      <c r="J1641" s="54" t="s">
        <v>19</v>
      </c>
      <c r="K1641" s="52" t="str">
        <f t="shared" si="75"/>
        <v>International</v>
      </c>
    </row>
    <row r="1642">
      <c r="A1642" s="53"/>
      <c r="B1642" s="53" t="str">
        <f>IFERROR(__xludf.DUMMYFUNCTION("""COMPUTED_VALUE"""),"Gibraltar [GAZ:00003987]                    ")</f>
        <v>Gibraltar [GAZ:00003987]                    </v>
      </c>
      <c r="C1642" s="53" t="str">
        <f>IFERROR(__xludf.DUMMYFUNCTION("""COMPUTED_VALUE"""),"GAZ:00003987")</f>
        <v>GAZ:00003987</v>
      </c>
      <c r="D1642"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642" s="54" t="s">
        <v>19</v>
      </c>
      <c r="I1642" s="54" t="s">
        <v>19</v>
      </c>
      <c r="J1642" s="54" t="s">
        <v>19</v>
      </c>
      <c r="K1642" s="52" t="str">
        <f t="shared" si="75"/>
        <v>International</v>
      </c>
    </row>
    <row r="1643">
      <c r="A1643" s="53"/>
      <c r="B1643" s="53" t="str">
        <f>IFERROR(__xludf.DUMMYFUNCTION("""COMPUTED_VALUE"""),"Glorioso Islands [GAZ:00005808]                    ")</f>
        <v>Glorioso Islands [GAZ:00005808]                    </v>
      </c>
      <c r="C1643" s="53" t="str">
        <f>IFERROR(__xludf.DUMMYFUNCTION("""COMPUTED_VALUE"""),"GAZ:00005808")</f>
        <v>GAZ:00005808</v>
      </c>
      <c r="D1643"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643" s="54" t="s">
        <v>19</v>
      </c>
      <c r="I1643" s="54" t="s">
        <v>19</v>
      </c>
      <c r="J1643" s="54" t="s">
        <v>19</v>
      </c>
      <c r="K1643" s="52" t="str">
        <f t="shared" si="75"/>
        <v>International</v>
      </c>
    </row>
    <row r="1644">
      <c r="A1644" s="53"/>
      <c r="B1644" s="53" t="str">
        <f>IFERROR(__xludf.DUMMYFUNCTION("""COMPUTED_VALUE"""),"Greece [GAZ:00002945]                    ")</f>
        <v>Greece [GAZ:00002945]                    </v>
      </c>
      <c r="C1644" s="53" t="str">
        <f>IFERROR(__xludf.DUMMYFUNCTION("""COMPUTED_VALUE"""),"GAZ:00002945")</f>
        <v>GAZ:00002945</v>
      </c>
      <c r="D1644"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644" s="54" t="s">
        <v>19</v>
      </c>
      <c r="I1644" s="54" t="s">
        <v>19</v>
      </c>
      <c r="J1644" s="54" t="s">
        <v>19</v>
      </c>
      <c r="K1644" s="52" t="str">
        <f t="shared" si="75"/>
        <v>International</v>
      </c>
    </row>
    <row r="1645">
      <c r="A1645" s="53"/>
      <c r="B1645" s="53" t="str">
        <f>IFERROR(__xludf.DUMMYFUNCTION("""COMPUTED_VALUE"""),"Greenland [GAZ:00001507]                    ")</f>
        <v>Greenland [GAZ:00001507]                    </v>
      </c>
      <c r="C1645" s="53" t="str">
        <f>IFERROR(__xludf.DUMMYFUNCTION("""COMPUTED_VALUE"""),"GAZ:00001507")</f>
        <v>GAZ:00001507</v>
      </c>
      <c r="D1645"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645" s="54" t="s">
        <v>19</v>
      </c>
      <c r="I1645" s="54" t="s">
        <v>19</v>
      </c>
      <c r="J1645" s="54" t="s">
        <v>19</v>
      </c>
      <c r="K1645" s="52" t="str">
        <f t="shared" si="75"/>
        <v>International</v>
      </c>
    </row>
    <row r="1646">
      <c r="A1646" s="53"/>
      <c r="B1646" s="53" t="str">
        <f>IFERROR(__xludf.DUMMYFUNCTION("""COMPUTED_VALUE"""),"Grenada [GAZ:02000573]                    ")</f>
        <v>Grenada [GAZ:02000573]                    </v>
      </c>
      <c r="C1646" s="53" t="str">
        <f>IFERROR(__xludf.DUMMYFUNCTION("""COMPUTED_VALUE"""),"GAZ:02000573")</f>
        <v>GAZ:02000573</v>
      </c>
      <c r="D1646"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646" s="54" t="s">
        <v>19</v>
      </c>
      <c r="I1646" s="54" t="s">
        <v>19</v>
      </c>
      <c r="J1646" s="54" t="s">
        <v>19</v>
      </c>
      <c r="K1646" s="52" t="str">
        <f t="shared" si="75"/>
        <v>International</v>
      </c>
    </row>
    <row r="1647">
      <c r="A1647" s="53"/>
      <c r="B1647" s="53" t="str">
        <f>IFERROR(__xludf.DUMMYFUNCTION("""COMPUTED_VALUE"""),"Guadeloupe [GAZ:00067142]                    ")</f>
        <v>Guadeloupe [GAZ:00067142]                    </v>
      </c>
      <c r="C1647" s="53" t="str">
        <f>IFERROR(__xludf.DUMMYFUNCTION("""COMPUTED_VALUE"""),"GAZ:00067142")</f>
        <v>GAZ:00067142</v>
      </c>
      <c r="D1647"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647" s="54" t="s">
        <v>19</v>
      </c>
      <c r="I1647" s="54" t="s">
        <v>19</v>
      </c>
      <c r="J1647" s="54" t="s">
        <v>19</v>
      </c>
      <c r="K1647" s="52" t="str">
        <f t="shared" si="75"/>
        <v>International</v>
      </c>
    </row>
    <row r="1648">
      <c r="A1648" s="53"/>
      <c r="B1648" s="53" t="str">
        <f>IFERROR(__xludf.DUMMYFUNCTION("""COMPUTED_VALUE"""),"Guam [GAZ:00003706]                    ")</f>
        <v>Guam [GAZ:00003706]                    </v>
      </c>
      <c r="C1648" s="53" t="str">
        <f>IFERROR(__xludf.DUMMYFUNCTION("""COMPUTED_VALUE"""),"GAZ:00003706")</f>
        <v>GAZ:00003706</v>
      </c>
      <c r="D1648"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648" s="54" t="s">
        <v>19</v>
      </c>
      <c r="I1648" s="54" t="s">
        <v>19</v>
      </c>
      <c r="J1648" s="54" t="s">
        <v>19</v>
      </c>
      <c r="K1648" s="52" t="str">
        <f t="shared" si="75"/>
        <v>International</v>
      </c>
    </row>
    <row r="1649">
      <c r="A1649" s="53"/>
      <c r="B1649" s="53" t="str">
        <f>IFERROR(__xludf.DUMMYFUNCTION("""COMPUTED_VALUE"""),"Guatemala [GAZ:00002936]                    ")</f>
        <v>Guatemala [GAZ:00002936]                    </v>
      </c>
      <c r="C1649" s="53" t="str">
        <f>IFERROR(__xludf.DUMMYFUNCTION("""COMPUTED_VALUE"""),"GAZ:00002936")</f>
        <v>GAZ:00002936</v>
      </c>
      <c r="D1649"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649" s="54" t="s">
        <v>19</v>
      </c>
      <c r="I1649" s="54" t="s">
        <v>19</v>
      </c>
      <c r="J1649" s="54" t="s">
        <v>19</v>
      </c>
      <c r="K1649" s="52" t="str">
        <f t="shared" si="75"/>
        <v>International</v>
      </c>
    </row>
    <row r="1650">
      <c r="A1650" s="53"/>
      <c r="B1650" s="53" t="str">
        <f>IFERROR(__xludf.DUMMYFUNCTION("""COMPUTED_VALUE"""),"Guernsey [GAZ:00001550]                    ")</f>
        <v>Guernsey [GAZ:00001550]                    </v>
      </c>
      <c r="C1650" s="53" t="str">
        <f>IFERROR(__xludf.DUMMYFUNCTION("""COMPUTED_VALUE"""),"GAZ:00001550")</f>
        <v>GAZ:00001550</v>
      </c>
      <c r="D1650" s="29" t="str">
        <f>IFERROR(__xludf.DUMMYFUNCTION("""COMPUTED_VALUE"""),"A British Crown Dependency in the English Channel off the coast of Normandy.")</f>
        <v>A British Crown Dependency in the English Channel off the coast of Normandy.</v>
      </c>
      <c r="H1650" s="54" t="s">
        <v>19</v>
      </c>
      <c r="I1650" s="54" t="s">
        <v>19</v>
      </c>
      <c r="J1650" s="54" t="s">
        <v>19</v>
      </c>
      <c r="K1650" s="52" t="str">
        <f t="shared" si="75"/>
        <v>International</v>
      </c>
    </row>
    <row r="1651">
      <c r="A1651" s="53"/>
      <c r="B1651" s="53" t="str">
        <f>IFERROR(__xludf.DUMMYFUNCTION("""COMPUTED_VALUE"""),"Guinea [GAZ:00000909]                    ")</f>
        <v>Guinea [GAZ:00000909]                    </v>
      </c>
      <c r="C1651" s="53" t="str">
        <f>IFERROR(__xludf.DUMMYFUNCTION("""COMPUTED_VALUE"""),"GAZ:00000909")</f>
        <v>GAZ:00000909</v>
      </c>
      <c r="D1651"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651" s="54" t="s">
        <v>19</v>
      </c>
      <c r="I1651" s="54" t="s">
        <v>19</v>
      </c>
      <c r="J1651" s="54" t="s">
        <v>19</v>
      </c>
      <c r="K1651" s="52" t="str">
        <f t="shared" si="75"/>
        <v>International</v>
      </c>
    </row>
    <row r="1652">
      <c r="A1652" s="53"/>
      <c r="B1652" s="53" t="str">
        <f>IFERROR(__xludf.DUMMYFUNCTION("""COMPUTED_VALUE"""),"Guinea-Bissau [GAZ:00000910]                    ")</f>
        <v>Guinea-Bissau [GAZ:00000910]                    </v>
      </c>
      <c r="C1652" s="53" t="str">
        <f>IFERROR(__xludf.DUMMYFUNCTION("""COMPUTED_VALUE"""),"GAZ:00000910")</f>
        <v>GAZ:00000910</v>
      </c>
      <c r="D1652"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652" s="54" t="s">
        <v>19</v>
      </c>
      <c r="I1652" s="54" t="s">
        <v>19</v>
      </c>
      <c r="J1652" s="54" t="s">
        <v>19</v>
      </c>
      <c r="K1652" s="52" t="str">
        <f t="shared" si="75"/>
        <v>International</v>
      </c>
    </row>
    <row r="1653">
      <c r="A1653" s="53"/>
      <c r="B1653" s="53" t="str">
        <f>IFERROR(__xludf.DUMMYFUNCTION("""COMPUTED_VALUE"""),"Guyana [GAZ:00002522]                    ")</f>
        <v>Guyana [GAZ:00002522]                    </v>
      </c>
      <c r="C1653" s="53" t="str">
        <f>IFERROR(__xludf.DUMMYFUNCTION("""COMPUTED_VALUE"""),"GAZ:00002522")</f>
        <v>GAZ:00002522</v>
      </c>
      <c r="D1653"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653" s="54" t="s">
        <v>19</v>
      </c>
      <c r="I1653" s="54" t="s">
        <v>19</v>
      </c>
      <c r="J1653" s="54" t="s">
        <v>19</v>
      </c>
      <c r="K1653" s="52" t="str">
        <f t="shared" si="75"/>
        <v>International</v>
      </c>
    </row>
    <row r="1654">
      <c r="A1654" s="53"/>
      <c r="B1654" s="53" t="str">
        <f>IFERROR(__xludf.DUMMYFUNCTION("""COMPUTED_VALUE"""),"Haiti [GAZ:00003953]                    ")</f>
        <v>Haiti [GAZ:00003953]                    </v>
      </c>
      <c r="C1654" s="53" t="str">
        <f>IFERROR(__xludf.DUMMYFUNCTION("""COMPUTED_VALUE"""),"GAZ:00003953")</f>
        <v>GAZ:00003953</v>
      </c>
      <c r="D1654"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654" s="54" t="s">
        <v>19</v>
      </c>
      <c r="I1654" s="54" t="s">
        <v>19</v>
      </c>
      <c r="J1654" s="54" t="s">
        <v>19</v>
      </c>
      <c r="K1654" s="52" t="str">
        <f t="shared" si="75"/>
        <v>International</v>
      </c>
    </row>
    <row r="1655">
      <c r="A1655" s="53"/>
      <c r="B1655" s="53" t="str">
        <f>IFERROR(__xludf.DUMMYFUNCTION("""COMPUTED_VALUE"""),"Heard Island and McDonald Islands [GAZ:00009718]                    ")</f>
        <v>Heard Island and McDonald Islands [GAZ:00009718]                    </v>
      </c>
      <c r="C1655" s="53" t="str">
        <f>IFERROR(__xludf.DUMMYFUNCTION("""COMPUTED_VALUE"""),"GAZ:00009718")</f>
        <v>GAZ:00009718</v>
      </c>
      <c r="D1655"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655" s="54" t="s">
        <v>19</v>
      </c>
      <c r="I1655" s="54" t="s">
        <v>19</v>
      </c>
      <c r="J1655" s="54" t="s">
        <v>19</v>
      </c>
      <c r="K1655" s="52" t="str">
        <f t="shared" si="75"/>
        <v>International</v>
      </c>
    </row>
    <row r="1656">
      <c r="A1656" s="53"/>
      <c r="B1656" s="53" t="str">
        <f>IFERROR(__xludf.DUMMYFUNCTION("""COMPUTED_VALUE"""),"Honduras [GAZ:00002894]                    ")</f>
        <v>Honduras [GAZ:00002894]                    </v>
      </c>
      <c r="C1656" s="53" t="str">
        <f>IFERROR(__xludf.DUMMYFUNCTION("""COMPUTED_VALUE"""),"GAZ:00002894")</f>
        <v>GAZ:00002894</v>
      </c>
      <c r="D1656"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656" s="54" t="s">
        <v>19</v>
      </c>
      <c r="I1656" s="54" t="s">
        <v>19</v>
      </c>
      <c r="J1656" s="54" t="s">
        <v>19</v>
      </c>
      <c r="K1656" s="52" t="str">
        <f t="shared" si="75"/>
        <v>International</v>
      </c>
    </row>
    <row r="1657">
      <c r="A1657" s="53"/>
      <c r="B1657" s="53" t="str">
        <f>IFERROR(__xludf.DUMMYFUNCTION("""COMPUTED_VALUE"""),"Hong Kong [GAZ:00003203]                    ")</f>
        <v>Hong Kong [GAZ:00003203]                    </v>
      </c>
      <c r="C1657" s="53" t="str">
        <f>IFERROR(__xludf.DUMMYFUNCTION("""COMPUTED_VALUE"""),"GAZ:00003203")</f>
        <v>GAZ:00003203</v>
      </c>
      <c r="D1657"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657" s="54" t="s">
        <v>19</v>
      </c>
      <c r="I1657" s="54" t="s">
        <v>19</v>
      </c>
      <c r="J1657" s="54" t="s">
        <v>19</v>
      </c>
      <c r="K1657" s="52" t="str">
        <f t="shared" si="75"/>
        <v>International</v>
      </c>
    </row>
    <row r="1658">
      <c r="A1658" s="53"/>
      <c r="B1658" s="53" t="str">
        <f>IFERROR(__xludf.DUMMYFUNCTION("""COMPUTED_VALUE"""),"Howland Island [GAZ:00007120]                    ")</f>
        <v>Howland Island [GAZ:00007120]                    </v>
      </c>
      <c r="C1658" s="53" t="str">
        <f>IFERROR(__xludf.DUMMYFUNCTION("""COMPUTED_VALUE"""),"GAZ:00007120")</f>
        <v>GAZ:00007120</v>
      </c>
      <c r="D1658"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658" s="54" t="s">
        <v>19</v>
      </c>
      <c r="I1658" s="54" t="s">
        <v>19</v>
      </c>
      <c r="J1658" s="54" t="s">
        <v>19</v>
      </c>
      <c r="K1658" s="52" t="str">
        <f t="shared" si="75"/>
        <v>International</v>
      </c>
    </row>
    <row r="1659">
      <c r="A1659" s="53"/>
      <c r="B1659" s="53" t="str">
        <f>IFERROR(__xludf.DUMMYFUNCTION("""COMPUTED_VALUE"""),"Hungary [GAZ:00002952]                    ")</f>
        <v>Hungary [GAZ:00002952]                    </v>
      </c>
      <c r="C1659" s="53" t="str">
        <f>IFERROR(__xludf.DUMMYFUNCTION("""COMPUTED_VALUE"""),"GAZ:00002952")</f>
        <v>GAZ:00002952</v>
      </c>
      <c r="D1659"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659" s="54" t="s">
        <v>19</v>
      </c>
      <c r="I1659" s="54" t="s">
        <v>19</v>
      </c>
      <c r="J1659" s="54" t="s">
        <v>19</v>
      </c>
      <c r="K1659" s="52" t="str">
        <f t="shared" si="75"/>
        <v>International</v>
      </c>
    </row>
    <row r="1660">
      <c r="A1660" s="53"/>
      <c r="B1660" s="53" t="str">
        <f>IFERROR(__xludf.DUMMYFUNCTION("""COMPUTED_VALUE"""),"Iceland [GAZ:00000843]                    ")</f>
        <v>Iceland [GAZ:00000843]                    </v>
      </c>
      <c r="C1660" s="53" t="str">
        <f>IFERROR(__xludf.DUMMYFUNCTION("""COMPUTED_VALUE"""),"GAZ:00000843")</f>
        <v>GAZ:00000843</v>
      </c>
      <c r="D1660"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660" s="54" t="s">
        <v>19</v>
      </c>
      <c r="I1660" s="54" t="s">
        <v>19</v>
      </c>
      <c r="J1660" s="54" t="s">
        <v>19</v>
      </c>
      <c r="K1660" s="52" t="str">
        <f t="shared" si="75"/>
        <v>International</v>
      </c>
    </row>
    <row r="1661">
      <c r="A1661" s="53"/>
      <c r="B1661" s="53" t="str">
        <f>IFERROR(__xludf.DUMMYFUNCTION("""COMPUTED_VALUE"""),"India [GAZ:00002839]                    ")</f>
        <v>India [GAZ:00002839]                    </v>
      </c>
      <c r="C1661" s="53" t="str">
        <f>IFERROR(__xludf.DUMMYFUNCTION("""COMPUTED_VALUE"""),"GAZ:00002839")</f>
        <v>GAZ:00002839</v>
      </c>
      <c r="D1661"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661" s="54" t="s">
        <v>19</v>
      </c>
      <c r="I1661" s="54" t="s">
        <v>19</v>
      </c>
      <c r="J1661" s="54" t="s">
        <v>19</v>
      </c>
      <c r="K1661" s="52" t="str">
        <f t="shared" si="75"/>
        <v>International</v>
      </c>
    </row>
    <row r="1662">
      <c r="A1662" s="53"/>
      <c r="B1662" s="53" t="str">
        <f>IFERROR(__xludf.DUMMYFUNCTION("""COMPUTED_VALUE"""),"Indonesia [GAZ:00003727]                    ")</f>
        <v>Indonesia [GAZ:00003727]                    </v>
      </c>
      <c r="C1662" s="53" t="str">
        <f>IFERROR(__xludf.DUMMYFUNCTION("""COMPUTED_VALUE"""),"GAZ:00003727")</f>
        <v>GAZ:00003727</v>
      </c>
      <c r="D1662"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662" s="54" t="s">
        <v>19</v>
      </c>
      <c r="I1662" s="54" t="s">
        <v>19</v>
      </c>
      <c r="J1662" s="54" t="s">
        <v>19</v>
      </c>
      <c r="K1662" s="52" t="str">
        <f t="shared" si="75"/>
        <v>International</v>
      </c>
    </row>
    <row r="1663">
      <c r="A1663" s="53"/>
      <c r="B1663" s="53" t="str">
        <f>IFERROR(__xludf.DUMMYFUNCTION("""COMPUTED_VALUE"""),"Iran [GAZ:00004474]                    ")</f>
        <v>Iran [GAZ:00004474]                    </v>
      </c>
      <c r="C1663" s="53" t="str">
        <f>IFERROR(__xludf.DUMMYFUNCTION("""COMPUTED_VALUE"""),"GAZ:00004474")</f>
        <v>GAZ:00004474</v>
      </c>
      <c r="D1663"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663" s="54" t="s">
        <v>19</v>
      </c>
      <c r="I1663" s="54" t="s">
        <v>19</v>
      </c>
      <c r="J1663" s="54" t="s">
        <v>19</v>
      </c>
      <c r="K1663" s="52" t="str">
        <f t="shared" si="75"/>
        <v>International</v>
      </c>
    </row>
    <row r="1664">
      <c r="A1664" s="53"/>
      <c r="B1664" s="53" t="str">
        <f>IFERROR(__xludf.DUMMYFUNCTION("""COMPUTED_VALUE"""),"Iraq [GAZ:00004483]                    ")</f>
        <v>Iraq [GAZ:00004483]                    </v>
      </c>
      <c r="C1664" s="53" t="str">
        <f>IFERROR(__xludf.DUMMYFUNCTION("""COMPUTED_VALUE"""),"GAZ:00004483")</f>
        <v>GAZ:00004483</v>
      </c>
      <c r="D1664"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664" s="54" t="s">
        <v>19</v>
      </c>
      <c r="I1664" s="54" t="s">
        <v>19</v>
      </c>
      <c r="J1664" s="54" t="s">
        <v>19</v>
      </c>
      <c r="K1664" s="52" t="str">
        <f t="shared" si="75"/>
        <v>International</v>
      </c>
    </row>
    <row r="1665">
      <c r="A1665" s="53"/>
      <c r="B1665" s="53" t="str">
        <f>IFERROR(__xludf.DUMMYFUNCTION("""COMPUTED_VALUE"""),"Ireland [GAZ:00002943]                    ")</f>
        <v>Ireland [GAZ:00002943]                    </v>
      </c>
      <c r="C1665" s="53" t="str">
        <f>IFERROR(__xludf.DUMMYFUNCTION("""COMPUTED_VALUE"""),"GAZ:00002943")</f>
        <v>GAZ:00002943</v>
      </c>
      <c r="D1665"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665" s="54" t="s">
        <v>19</v>
      </c>
      <c r="I1665" s="54" t="s">
        <v>19</v>
      </c>
      <c r="J1665" s="54" t="s">
        <v>19</v>
      </c>
      <c r="K1665" s="52" t="str">
        <f t="shared" si="75"/>
        <v>International</v>
      </c>
    </row>
    <row r="1666">
      <c r="A1666" s="53"/>
      <c r="B1666" s="53" t="str">
        <f>IFERROR(__xludf.DUMMYFUNCTION("""COMPUTED_VALUE"""),"Isle of Man [GAZ:00052477]                    ")</f>
        <v>Isle of Man [GAZ:00052477]                    </v>
      </c>
      <c r="C1666" s="53" t="str">
        <f>IFERROR(__xludf.DUMMYFUNCTION("""COMPUTED_VALUE"""),"GAZ:00052477")</f>
        <v>GAZ:00052477</v>
      </c>
      <c r="D1666"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666" s="54" t="s">
        <v>19</v>
      </c>
      <c r="I1666" s="54" t="s">
        <v>19</v>
      </c>
      <c r="J1666" s="54" t="s">
        <v>19</v>
      </c>
      <c r="K1666" s="52" t="str">
        <f t="shared" si="75"/>
        <v>International</v>
      </c>
    </row>
    <row r="1667">
      <c r="A1667" s="53"/>
      <c r="B1667" s="53" t="str">
        <f>IFERROR(__xludf.DUMMYFUNCTION("""COMPUTED_VALUE"""),"Israel [GAZ:00002476]                    ")</f>
        <v>Israel [GAZ:00002476]                    </v>
      </c>
      <c r="C1667" s="53" t="str">
        <f>IFERROR(__xludf.DUMMYFUNCTION("""COMPUTED_VALUE"""),"GAZ:00002476")</f>
        <v>GAZ:00002476</v>
      </c>
      <c r="D1667"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667" s="54" t="s">
        <v>19</v>
      </c>
      <c r="I1667" s="54" t="s">
        <v>19</v>
      </c>
      <c r="J1667" s="54" t="s">
        <v>19</v>
      </c>
      <c r="K1667" s="52" t="str">
        <f t="shared" si="75"/>
        <v>International</v>
      </c>
    </row>
    <row r="1668">
      <c r="A1668" s="53"/>
      <c r="B1668" s="53" t="str">
        <f>IFERROR(__xludf.DUMMYFUNCTION("""COMPUTED_VALUE"""),"Italy [GAZ:00002650]                    ")</f>
        <v>Italy [GAZ:00002650]                    </v>
      </c>
      <c r="C1668" s="53" t="str">
        <f>IFERROR(__xludf.DUMMYFUNCTION("""COMPUTED_VALUE"""),"GAZ:00002650")</f>
        <v>GAZ:00002650</v>
      </c>
      <c r="D1668"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668" s="54" t="s">
        <v>19</v>
      </c>
      <c r="I1668" s="54" t="s">
        <v>19</v>
      </c>
      <c r="J1668" s="54" t="s">
        <v>19</v>
      </c>
      <c r="K1668" s="52" t="str">
        <f t="shared" si="75"/>
        <v>International</v>
      </c>
    </row>
    <row r="1669">
      <c r="A1669" s="53"/>
      <c r="B1669" s="53" t="str">
        <f>IFERROR(__xludf.DUMMYFUNCTION("""COMPUTED_VALUE"""),"Jamaica [GAZ:00003781]                    ")</f>
        <v>Jamaica [GAZ:00003781]                    </v>
      </c>
      <c r="C1669" s="53" t="str">
        <f>IFERROR(__xludf.DUMMYFUNCTION("""COMPUTED_VALUE"""),"GAZ:00003781")</f>
        <v>GAZ:00003781</v>
      </c>
      <c r="D1669"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669" s="54" t="s">
        <v>19</v>
      </c>
      <c r="I1669" s="54" t="s">
        <v>19</v>
      </c>
      <c r="J1669" s="54" t="s">
        <v>19</v>
      </c>
      <c r="K1669" s="52" t="str">
        <f t="shared" si="75"/>
        <v>International</v>
      </c>
    </row>
    <row r="1670">
      <c r="A1670" s="53"/>
      <c r="B1670" s="53" t="str">
        <f>IFERROR(__xludf.DUMMYFUNCTION("""COMPUTED_VALUE"""),"Jan Mayen [GAZ:00005853]                    ")</f>
        <v>Jan Mayen [GAZ:00005853]                    </v>
      </c>
      <c r="C1670" s="53" t="str">
        <f>IFERROR(__xludf.DUMMYFUNCTION("""COMPUTED_VALUE"""),"GAZ:00005853")</f>
        <v>GAZ:00005853</v>
      </c>
      <c r="D1670"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670" s="54" t="s">
        <v>19</v>
      </c>
      <c r="I1670" s="54" t="s">
        <v>19</v>
      </c>
      <c r="J1670" s="54" t="s">
        <v>19</v>
      </c>
      <c r="K1670" s="52" t="str">
        <f t="shared" si="75"/>
        <v>International</v>
      </c>
    </row>
    <row r="1671">
      <c r="A1671" s="53"/>
      <c r="B1671" s="53" t="str">
        <f>IFERROR(__xludf.DUMMYFUNCTION("""COMPUTED_VALUE"""),"Japan [GAZ:00002747]                    ")</f>
        <v>Japan [GAZ:00002747]                    </v>
      </c>
      <c r="C1671" s="53" t="str">
        <f>IFERROR(__xludf.DUMMYFUNCTION("""COMPUTED_VALUE"""),"GAZ:00002747")</f>
        <v>GAZ:00002747</v>
      </c>
      <c r="D1671"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671" s="54" t="s">
        <v>19</v>
      </c>
      <c r="I1671" s="54" t="s">
        <v>19</v>
      </c>
      <c r="J1671" s="54" t="s">
        <v>19</v>
      </c>
      <c r="K1671" s="52" t="str">
        <f t="shared" si="75"/>
        <v>International</v>
      </c>
    </row>
    <row r="1672">
      <c r="A1672" s="53"/>
      <c r="B1672" s="53" t="str">
        <f>IFERROR(__xludf.DUMMYFUNCTION("""COMPUTED_VALUE"""),"Jarvis Island [GAZ:00007118]                    ")</f>
        <v>Jarvis Island [GAZ:00007118]                    </v>
      </c>
      <c r="C1672" s="53" t="str">
        <f>IFERROR(__xludf.DUMMYFUNCTION("""COMPUTED_VALUE"""),"GAZ:00007118")</f>
        <v>GAZ:00007118</v>
      </c>
      <c r="D1672"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672" s="54" t="s">
        <v>19</v>
      </c>
      <c r="I1672" s="54" t="s">
        <v>19</v>
      </c>
      <c r="J1672" s="54" t="s">
        <v>19</v>
      </c>
      <c r="K1672" s="52" t="str">
        <f t="shared" si="75"/>
        <v>International</v>
      </c>
    </row>
    <row r="1673">
      <c r="A1673" s="53"/>
      <c r="B1673" s="53" t="str">
        <f>IFERROR(__xludf.DUMMYFUNCTION("""COMPUTED_VALUE"""),"Jersey [GAZ:00001551]                    ")</f>
        <v>Jersey [GAZ:00001551]                    </v>
      </c>
      <c r="C1673" s="53" t="str">
        <f>IFERROR(__xludf.DUMMYFUNCTION("""COMPUTED_VALUE"""),"GAZ:00001551")</f>
        <v>GAZ:00001551</v>
      </c>
      <c r="D1673"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673" s="54" t="s">
        <v>19</v>
      </c>
      <c r="I1673" s="54" t="s">
        <v>19</v>
      </c>
      <c r="J1673" s="54" t="s">
        <v>19</v>
      </c>
      <c r="K1673" s="52" t="str">
        <f t="shared" si="75"/>
        <v>International</v>
      </c>
    </row>
    <row r="1674">
      <c r="A1674" s="53"/>
      <c r="B1674" s="53" t="str">
        <f>IFERROR(__xludf.DUMMYFUNCTION("""COMPUTED_VALUE"""),"Johnston Atoll [GAZ:00007114]                    ")</f>
        <v>Johnston Atoll [GAZ:00007114]                    </v>
      </c>
      <c r="C1674" s="53" t="str">
        <f>IFERROR(__xludf.DUMMYFUNCTION("""COMPUTED_VALUE"""),"GAZ:00007114")</f>
        <v>GAZ:00007114</v>
      </c>
      <c r="D1674"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674" s="54" t="s">
        <v>19</v>
      </c>
      <c r="I1674" s="54" t="s">
        <v>19</v>
      </c>
      <c r="J1674" s="54" t="s">
        <v>19</v>
      </c>
      <c r="K1674" s="52" t="str">
        <f t="shared" si="75"/>
        <v>International</v>
      </c>
    </row>
    <row r="1675">
      <c r="A1675" s="53"/>
      <c r="B1675" s="53" t="str">
        <f>IFERROR(__xludf.DUMMYFUNCTION("""COMPUTED_VALUE"""),"Jordan [GAZ:00002473]                    ")</f>
        <v>Jordan [GAZ:00002473]                    </v>
      </c>
      <c r="C1675" s="53" t="str">
        <f>IFERROR(__xludf.DUMMYFUNCTION("""COMPUTED_VALUE"""),"GAZ:00002473")</f>
        <v>GAZ:00002473</v>
      </c>
      <c r="D1675"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675" s="54" t="s">
        <v>19</v>
      </c>
      <c r="I1675" s="54" t="s">
        <v>19</v>
      </c>
      <c r="J1675" s="54" t="s">
        <v>19</v>
      </c>
      <c r="K1675" s="52" t="str">
        <f t="shared" si="75"/>
        <v>International</v>
      </c>
    </row>
    <row r="1676">
      <c r="A1676" s="53"/>
      <c r="B1676" s="53" t="str">
        <f>IFERROR(__xludf.DUMMYFUNCTION("""COMPUTED_VALUE"""),"Juan de Nova Island [GAZ:00005809]                    ")</f>
        <v>Juan de Nova Island [GAZ:00005809]                    </v>
      </c>
      <c r="C1676" s="53" t="str">
        <f>IFERROR(__xludf.DUMMYFUNCTION("""COMPUTED_VALUE"""),"GAZ:00005809")</f>
        <v>GAZ:00005809</v>
      </c>
      <c r="D1676"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676" s="54" t="s">
        <v>19</v>
      </c>
      <c r="I1676" s="54" t="s">
        <v>19</v>
      </c>
      <c r="J1676" s="54" t="s">
        <v>19</v>
      </c>
      <c r="K1676" s="52" t="str">
        <f t="shared" si="75"/>
        <v>International</v>
      </c>
    </row>
    <row r="1677">
      <c r="A1677" s="53"/>
      <c r="B1677" s="53" t="str">
        <f>IFERROR(__xludf.DUMMYFUNCTION("""COMPUTED_VALUE"""),"Kazakhstan [GAZ:00004999]                    ")</f>
        <v>Kazakhstan [GAZ:00004999]                    </v>
      </c>
      <c r="C1677" s="53" t="str">
        <f>IFERROR(__xludf.DUMMYFUNCTION("""COMPUTED_VALUE"""),"GAZ:00004999")</f>
        <v>GAZ:00004999</v>
      </c>
      <c r="D1677"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677" s="54" t="s">
        <v>19</v>
      </c>
      <c r="I1677" s="54" t="s">
        <v>19</v>
      </c>
      <c r="J1677" s="54" t="s">
        <v>19</v>
      </c>
      <c r="K1677" s="52" t="str">
        <f t="shared" si="75"/>
        <v>International</v>
      </c>
    </row>
    <row r="1678">
      <c r="A1678" s="53"/>
      <c r="B1678" s="53" t="str">
        <f>IFERROR(__xludf.DUMMYFUNCTION("""COMPUTED_VALUE"""),"Kenya [GAZ:00001101]                    ")</f>
        <v>Kenya [GAZ:00001101]                    </v>
      </c>
      <c r="C1678" s="53" t="str">
        <f>IFERROR(__xludf.DUMMYFUNCTION("""COMPUTED_VALUE"""),"GAZ:00001101")</f>
        <v>GAZ:00001101</v>
      </c>
      <c r="D1678"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678" s="54" t="s">
        <v>19</v>
      </c>
      <c r="I1678" s="54" t="s">
        <v>19</v>
      </c>
      <c r="J1678" s="54" t="s">
        <v>19</v>
      </c>
      <c r="K1678" s="52" t="str">
        <f t="shared" si="75"/>
        <v>International</v>
      </c>
    </row>
    <row r="1679">
      <c r="A1679" s="53"/>
      <c r="B1679" s="53" t="str">
        <f>IFERROR(__xludf.DUMMYFUNCTION("""COMPUTED_VALUE"""),"Kerguelen Archipelago [GAZ:00005682]                    ")</f>
        <v>Kerguelen Archipelago [GAZ:00005682]                    </v>
      </c>
      <c r="C1679" s="53" t="str">
        <f>IFERROR(__xludf.DUMMYFUNCTION("""COMPUTED_VALUE"""),"GAZ:00005682")</f>
        <v>GAZ:00005682</v>
      </c>
      <c r="D1679"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679" s="54" t="s">
        <v>19</v>
      </c>
      <c r="I1679" s="54" t="s">
        <v>19</v>
      </c>
      <c r="J1679" s="54" t="s">
        <v>19</v>
      </c>
      <c r="K1679" s="52" t="str">
        <f t="shared" si="75"/>
        <v>International</v>
      </c>
    </row>
    <row r="1680">
      <c r="A1680" s="53"/>
      <c r="B1680" s="53" t="str">
        <f>IFERROR(__xludf.DUMMYFUNCTION("""COMPUTED_VALUE"""),"Kingman Reef [GAZ:00007116]                    ")</f>
        <v>Kingman Reef [GAZ:00007116]                    </v>
      </c>
      <c r="C1680" s="53" t="str">
        <f>IFERROR(__xludf.DUMMYFUNCTION("""COMPUTED_VALUE"""),"GAZ:00007116")</f>
        <v>GAZ:00007116</v>
      </c>
      <c r="D1680"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680" s="54" t="s">
        <v>19</v>
      </c>
      <c r="I1680" s="54" t="s">
        <v>19</v>
      </c>
      <c r="J1680" s="54" t="s">
        <v>19</v>
      </c>
      <c r="K1680" s="52" t="str">
        <f t="shared" si="75"/>
        <v>International</v>
      </c>
    </row>
    <row r="1681">
      <c r="A1681" s="53"/>
      <c r="B1681" s="53" t="str">
        <f>IFERROR(__xludf.DUMMYFUNCTION("""COMPUTED_VALUE"""),"Kiribati [GAZ:00006894]                    ")</f>
        <v>Kiribati [GAZ:00006894]                    </v>
      </c>
      <c r="C1681" s="53" t="str">
        <f>IFERROR(__xludf.DUMMYFUNCTION("""COMPUTED_VALUE"""),"GAZ:00006894")</f>
        <v>GAZ:00006894</v>
      </c>
      <c r="D1681"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681" s="54" t="s">
        <v>19</v>
      </c>
      <c r="I1681" s="54" t="s">
        <v>19</v>
      </c>
      <c r="J1681" s="54" t="s">
        <v>19</v>
      </c>
      <c r="K1681" s="52" t="str">
        <f t="shared" si="75"/>
        <v>International</v>
      </c>
    </row>
    <row r="1682">
      <c r="A1682" s="53"/>
      <c r="B1682" s="53" t="str">
        <f>IFERROR(__xludf.DUMMYFUNCTION("""COMPUTED_VALUE"""),"Kosovo [GAZ:00011337]                    ")</f>
        <v>Kosovo [GAZ:00011337]                    </v>
      </c>
      <c r="C1682" s="53" t="str">
        <f>IFERROR(__xludf.DUMMYFUNCTION("""COMPUTED_VALUE"""),"GAZ:00011337")</f>
        <v>GAZ:00011337</v>
      </c>
      <c r="D1682"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682" s="54" t="s">
        <v>19</v>
      </c>
      <c r="I1682" s="54" t="s">
        <v>19</v>
      </c>
      <c r="J1682" s="54" t="s">
        <v>19</v>
      </c>
      <c r="K1682" s="52" t="str">
        <f t="shared" si="75"/>
        <v>International</v>
      </c>
    </row>
    <row r="1683">
      <c r="A1683" s="53"/>
      <c r="B1683" s="53" t="str">
        <f>IFERROR(__xludf.DUMMYFUNCTION("""COMPUTED_VALUE"""),"Kuwait [GAZ:00005285]                    ")</f>
        <v>Kuwait [GAZ:00005285]                    </v>
      </c>
      <c r="C1683" s="53" t="str">
        <f>IFERROR(__xludf.DUMMYFUNCTION("""COMPUTED_VALUE"""),"GAZ:00005285")</f>
        <v>GAZ:00005285</v>
      </c>
      <c r="D1683"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683" s="54" t="s">
        <v>19</v>
      </c>
      <c r="I1683" s="54" t="s">
        <v>19</v>
      </c>
      <c r="J1683" s="54" t="s">
        <v>19</v>
      </c>
      <c r="K1683" s="52" t="str">
        <f t="shared" si="75"/>
        <v>International</v>
      </c>
    </row>
    <row r="1684">
      <c r="A1684" s="53"/>
      <c r="B1684" s="53" t="str">
        <f>IFERROR(__xludf.DUMMYFUNCTION("""COMPUTED_VALUE"""),"Kyrgyzstan [GAZ:00006893]                    ")</f>
        <v>Kyrgyzstan [GAZ:00006893]                    </v>
      </c>
      <c r="C1684" s="53" t="str">
        <f>IFERROR(__xludf.DUMMYFUNCTION("""COMPUTED_VALUE"""),"GAZ:00006893")</f>
        <v>GAZ:00006893</v>
      </c>
      <c r="D1684"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684" s="54" t="s">
        <v>19</v>
      </c>
      <c r="I1684" s="54" t="s">
        <v>19</v>
      </c>
      <c r="J1684" s="54" t="s">
        <v>19</v>
      </c>
      <c r="K1684" s="52" t="str">
        <f t="shared" si="75"/>
        <v>International</v>
      </c>
    </row>
    <row r="1685">
      <c r="A1685" s="53"/>
      <c r="B1685" s="53" t="str">
        <f>IFERROR(__xludf.DUMMYFUNCTION("""COMPUTED_VALUE"""),"Laos [GAZ:00006889]                    ")</f>
        <v>Laos [GAZ:00006889]                    </v>
      </c>
      <c r="C1685" s="53" t="str">
        <f>IFERROR(__xludf.DUMMYFUNCTION("""COMPUTED_VALUE"""),"GAZ:00006889")</f>
        <v>GAZ:00006889</v>
      </c>
      <c r="D1685"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685" s="54" t="s">
        <v>19</v>
      </c>
      <c r="I1685" s="54" t="s">
        <v>19</v>
      </c>
      <c r="J1685" s="54" t="s">
        <v>19</v>
      </c>
      <c r="K1685" s="52" t="str">
        <f t="shared" si="75"/>
        <v>International</v>
      </c>
    </row>
    <row r="1686">
      <c r="A1686" s="53"/>
      <c r="B1686" s="53" t="str">
        <f>IFERROR(__xludf.DUMMYFUNCTION("""COMPUTED_VALUE"""),"Latvia [GAZ:00002958]                    ")</f>
        <v>Latvia [GAZ:00002958]                    </v>
      </c>
      <c r="C1686" s="53" t="str">
        <f>IFERROR(__xludf.DUMMYFUNCTION("""COMPUTED_VALUE"""),"GAZ:00002958")</f>
        <v>GAZ:00002958</v>
      </c>
      <c r="D1686"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686" s="54" t="s">
        <v>19</v>
      </c>
      <c r="I1686" s="54" t="s">
        <v>19</v>
      </c>
      <c r="J1686" s="54" t="s">
        <v>19</v>
      </c>
      <c r="K1686" s="52" t="str">
        <f t="shared" si="75"/>
        <v>International</v>
      </c>
    </row>
    <row r="1687">
      <c r="A1687" s="53"/>
      <c r="B1687" s="53" t="str">
        <f>IFERROR(__xludf.DUMMYFUNCTION("""COMPUTED_VALUE"""),"Lebanon [GAZ:00002478]                    ")</f>
        <v>Lebanon [GAZ:00002478]                    </v>
      </c>
      <c r="C1687" s="53" t="str">
        <f>IFERROR(__xludf.DUMMYFUNCTION("""COMPUTED_VALUE"""),"GAZ:00002478")</f>
        <v>GAZ:00002478</v>
      </c>
      <c r="D1687"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687" s="54" t="s">
        <v>19</v>
      </c>
      <c r="I1687" s="54" t="s">
        <v>19</v>
      </c>
      <c r="J1687" s="54" t="s">
        <v>19</v>
      </c>
      <c r="K1687" s="52" t="str">
        <f t="shared" si="75"/>
        <v>International</v>
      </c>
    </row>
    <row r="1688">
      <c r="A1688" s="53"/>
      <c r="B1688" s="53" t="str">
        <f>IFERROR(__xludf.DUMMYFUNCTION("""COMPUTED_VALUE"""),"Lesotho [GAZ:00001098]                    ")</f>
        <v>Lesotho [GAZ:00001098]                    </v>
      </c>
      <c r="C1688" s="53" t="str">
        <f>IFERROR(__xludf.DUMMYFUNCTION("""COMPUTED_VALUE"""),"GAZ:00001098")</f>
        <v>GAZ:00001098</v>
      </c>
      <c r="D1688"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688" s="54" t="s">
        <v>19</v>
      </c>
      <c r="I1688" s="54" t="s">
        <v>19</v>
      </c>
      <c r="J1688" s="54" t="s">
        <v>19</v>
      </c>
      <c r="K1688" s="52" t="str">
        <f t="shared" si="75"/>
        <v>International</v>
      </c>
    </row>
    <row r="1689">
      <c r="A1689" s="53"/>
      <c r="B1689" s="53" t="str">
        <f>IFERROR(__xludf.DUMMYFUNCTION("""COMPUTED_VALUE"""),"Liberia [GAZ:00000911]                    ")</f>
        <v>Liberia [GAZ:00000911]                    </v>
      </c>
      <c r="C1689" s="53" t="str">
        <f>IFERROR(__xludf.DUMMYFUNCTION("""COMPUTED_VALUE"""),"GAZ:00000911")</f>
        <v>GAZ:00000911</v>
      </c>
      <c r="D1689" s="29" t="str">
        <f>IFERROR(__xludf.DUMMYFUNCTION("""COMPUTED_VALUE"""),"A country on the west coast of Africa, bordered by Sierra Leone, Guinea, Cote d'Ivoire, and the Atlantic Ocean.")</f>
        <v>A country on the west coast of Africa, bordered by Sierra Leone, Guinea, Cote d'Ivoire, and the Atlantic Ocean.</v>
      </c>
      <c r="H1689" s="54" t="s">
        <v>19</v>
      </c>
      <c r="I1689" s="54" t="s">
        <v>19</v>
      </c>
      <c r="J1689" s="54" t="s">
        <v>19</v>
      </c>
      <c r="K1689" s="52" t="str">
        <f t="shared" si="75"/>
        <v>International</v>
      </c>
    </row>
    <row r="1690">
      <c r="A1690" s="53"/>
      <c r="B1690" s="53" t="str">
        <f>IFERROR(__xludf.DUMMYFUNCTION("""COMPUTED_VALUE"""),"Libya [GAZ:00000566]                    ")</f>
        <v>Libya [GAZ:00000566]                    </v>
      </c>
      <c r="C1690" s="53" t="str">
        <f>IFERROR(__xludf.DUMMYFUNCTION("""COMPUTED_VALUE"""),"GAZ:00000566")</f>
        <v>GAZ:00000566</v>
      </c>
      <c r="D1690"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690" s="54" t="s">
        <v>19</v>
      </c>
      <c r="I1690" s="54" t="s">
        <v>19</v>
      </c>
      <c r="J1690" s="54" t="s">
        <v>19</v>
      </c>
      <c r="K1690" s="52" t="str">
        <f t="shared" si="75"/>
        <v>International</v>
      </c>
    </row>
    <row r="1691">
      <c r="A1691" s="53"/>
      <c r="B1691" s="53" t="str">
        <f>IFERROR(__xludf.DUMMYFUNCTION("""COMPUTED_VALUE"""),"Liechtenstein [GAZ:00003858]                    ")</f>
        <v>Liechtenstein [GAZ:00003858]                    </v>
      </c>
      <c r="C1691" s="53" t="str">
        <f>IFERROR(__xludf.DUMMYFUNCTION("""COMPUTED_VALUE"""),"GAZ:00003858")</f>
        <v>GAZ:00003858</v>
      </c>
      <c r="D1691"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691" s="54" t="s">
        <v>19</v>
      </c>
      <c r="I1691" s="54" t="s">
        <v>19</v>
      </c>
      <c r="J1691" s="54" t="s">
        <v>19</v>
      </c>
      <c r="K1691" s="52" t="str">
        <f t="shared" si="75"/>
        <v>International</v>
      </c>
    </row>
    <row r="1692">
      <c r="A1692" s="53"/>
      <c r="B1692" s="53" t="str">
        <f>IFERROR(__xludf.DUMMYFUNCTION("""COMPUTED_VALUE"""),"Line Islands [GAZ:00007144]                    ")</f>
        <v>Line Islands [GAZ:00007144]                    </v>
      </c>
      <c r="C1692" s="53" t="str">
        <f>IFERROR(__xludf.DUMMYFUNCTION("""COMPUTED_VALUE"""),"GAZ:00007144")</f>
        <v>GAZ:00007144</v>
      </c>
      <c r="D1692"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692" s="54" t="s">
        <v>19</v>
      </c>
      <c r="I1692" s="54" t="s">
        <v>19</v>
      </c>
      <c r="J1692" s="54" t="s">
        <v>19</v>
      </c>
      <c r="K1692" s="52" t="str">
        <f t="shared" si="75"/>
        <v>International</v>
      </c>
    </row>
    <row r="1693">
      <c r="A1693" s="53"/>
      <c r="B1693" s="53" t="str">
        <f>IFERROR(__xludf.DUMMYFUNCTION("""COMPUTED_VALUE"""),"Lithuania [GAZ:00002960]                    ")</f>
        <v>Lithuania [GAZ:00002960]                    </v>
      </c>
      <c r="C1693" s="53" t="str">
        <f>IFERROR(__xludf.DUMMYFUNCTION("""COMPUTED_VALUE"""),"GAZ:00002960")</f>
        <v>GAZ:00002960</v>
      </c>
      <c r="D1693"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693" s="54" t="s">
        <v>19</v>
      </c>
      <c r="I1693" s="54" t="s">
        <v>19</v>
      </c>
      <c r="J1693" s="54" t="s">
        <v>19</v>
      </c>
      <c r="K1693" s="52" t="str">
        <f t="shared" si="75"/>
        <v>International</v>
      </c>
    </row>
    <row r="1694">
      <c r="A1694" s="53"/>
      <c r="B1694" s="53" t="str">
        <f>IFERROR(__xludf.DUMMYFUNCTION("""COMPUTED_VALUE"""),"Luxembourg [GAZ:00002947]                    ")</f>
        <v>Luxembourg [GAZ:00002947]                    </v>
      </c>
      <c r="C1694" s="53" t="str">
        <f>IFERROR(__xludf.DUMMYFUNCTION("""COMPUTED_VALUE"""),"GAZ:00002947")</f>
        <v>GAZ:00002947</v>
      </c>
      <c r="D1694"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694" s="54" t="s">
        <v>19</v>
      </c>
      <c r="I1694" s="54" t="s">
        <v>19</v>
      </c>
      <c r="J1694" s="54" t="s">
        <v>19</v>
      </c>
      <c r="K1694" s="52" t="str">
        <f t="shared" si="75"/>
        <v>International</v>
      </c>
    </row>
    <row r="1695">
      <c r="A1695" s="53"/>
      <c r="B1695" s="53" t="str">
        <f>IFERROR(__xludf.DUMMYFUNCTION("""COMPUTED_VALUE"""),"Macau [GAZ:00003202]                    ")</f>
        <v>Macau [GAZ:00003202]                    </v>
      </c>
      <c r="C1695" s="53" t="str">
        <f>IFERROR(__xludf.DUMMYFUNCTION("""COMPUTED_VALUE"""),"GAZ:00003202")</f>
        <v>GAZ:00003202</v>
      </c>
      <c r="D1695"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695" s="54" t="s">
        <v>19</v>
      </c>
      <c r="I1695" s="54" t="s">
        <v>19</v>
      </c>
      <c r="J1695" s="54" t="s">
        <v>19</v>
      </c>
      <c r="K1695" s="52" t="str">
        <f t="shared" si="75"/>
        <v>International</v>
      </c>
    </row>
    <row r="1696">
      <c r="A1696" s="53"/>
      <c r="B1696" s="53" t="str">
        <f>IFERROR(__xludf.DUMMYFUNCTION("""COMPUTED_VALUE"""),"Madagascar [GAZ:00001108]                    ")</f>
        <v>Madagascar [GAZ:00001108]                    </v>
      </c>
      <c r="C1696" s="53" t="str">
        <f>IFERROR(__xludf.DUMMYFUNCTION("""COMPUTED_VALUE"""),"GAZ:00001108")</f>
        <v>GAZ:00001108</v>
      </c>
      <c r="D1696"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696" s="54" t="s">
        <v>19</v>
      </c>
      <c r="I1696" s="54" t="s">
        <v>19</v>
      </c>
      <c r="J1696" s="54" t="s">
        <v>19</v>
      </c>
      <c r="K1696" s="52" t="str">
        <f t="shared" si="75"/>
        <v>International</v>
      </c>
    </row>
    <row r="1697">
      <c r="A1697" s="53"/>
      <c r="B1697" s="53" t="str">
        <f>IFERROR(__xludf.DUMMYFUNCTION("""COMPUTED_VALUE"""),"Malawi [GAZ:00001105]                    ")</f>
        <v>Malawi [GAZ:00001105]                    </v>
      </c>
      <c r="C1697" s="53" t="str">
        <f>IFERROR(__xludf.DUMMYFUNCTION("""COMPUTED_VALUE"""),"GAZ:00001105")</f>
        <v>GAZ:00001105</v>
      </c>
      <c r="D1697"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7" s="54" t="s">
        <v>19</v>
      </c>
      <c r="I1697" s="54" t="s">
        <v>19</v>
      </c>
      <c r="J1697" s="54" t="s">
        <v>19</v>
      </c>
      <c r="K1697" s="52" t="str">
        <f t="shared" si="75"/>
        <v>International</v>
      </c>
    </row>
    <row r="1698">
      <c r="A1698" s="53"/>
      <c r="B1698" s="53" t="str">
        <f>IFERROR(__xludf.DUMMYFUNCTION("""COMPUTED_VALUE"""),"Malaysia [GAZ:00003902]                    ")</f>
        <v>Malaysia [GAZ:00003902]                    </v>
      </c>
      <c r="C1698" s="53" t="str">
        <f>IFERROR(__xludf.DUMMYFUNCTION("""COMPUTED_VALUE"""),"GAZ:00003902")</f>
        <v>GAZ:00003902</v>
      </c>
      <c r="D1698"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698" s="54" t="s">
        <v>19</v>
      </c>
      <c r="I1698" s="54" t="s">
        <v>19</v>
      </c>
      <c r="J1698" s="54" t="s">
        <v>19</v>
      </c>
      <c r="K1698" s="52" t="str">
        <f t="shared" si="75"/>
        <v>International</v>
      </c>
    </row>
    <row r="1699">
      <c r="A1699" s="53"/>
      <c r="B1699" s="53" t="str">
        <f>IFERROR(__xludf.DUMMYFUNCTION("""COMPUTED_VALUE"""),"Maldives [GAZ:00006924]                    ")</f>
        <v>Maldives [GAZ:00006924]                    </v>
      </c>
      <c r="C1699" s="53" t="str">
        <f>IFERROR(__xludf.DUMMYFUNCTION("""COMPUTED_VALUE"""),"GAZ:00006924")</f>
        <v>GAZ:00006924</v>
      </c>
      <c r="D1699"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699" s="54" t="s">
        <v>19</v>
      </c>
      <c r="I1699" s="54" t="s">
        <v>19</v>
      </c>
      <c r="J1699" s="54" t="s">
        <v>19</v>
      </c>
      <c r="K1699" s="52" t="str">
        <f t="shared" si="75"/>
        <v>International</v>
      </c>
    </row>
    <row r="1700">
      <c r="A1700" s="53"/>
      <c r="B1700" s="53" t="str">
        <f>IFERROR(__xludf.DUMMYFUNCTION("""COMPUTED_VALUE"""),"Mali [GAZ:00000584]                    ")</f>
        <v>Mali [GAZ:00000584]                    </v>
      </c>
      <c r="C1700" s="53" t="str">
        <f>IFERROR(__xludf.DUMMYFUNCTION("""COMPUTED_VALUE"""),"GAZ:00000584")</f>
        <v>GAZ:00000584</v>
      </c>
      <c r="D1700"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700" s="54" t="s">
        <v>19</v>
      </c>
      <c r="I1700" s="54" t="s">
        <v>19</v>
      </c>
      <c r="J1700" s="54" t="s">
        <v>19</v>
      </c>
      <c r="K1700" s="52" t="str">
        <f t="shared" si="75"/>
        <v>International</v>
      </c>
    </row>
    <row r="1701">
      <c r="A1701" s="53"/>
      <c r="B1701" s="53" t="str">
        <f>IFERROR(__xludf.DUMMYFUNCTION("""COMPUTED_VALUE"""),"Malta [GAZ:00004017]                    ")</f>
        <v>Malta [GAZ:00004017]                    </v>
      </c>
      <c r="C1701" s="53" t="str">
        <f>IFERROR(__xludf.DUMMYFUNCTION("""COMPUTED_VALUE"""),"GAZ:00004017")</f>
        <v>GAZ:00004017</v>
      </c>
      <c r="D1701" s="29" t="str">
        <f>IFERROR(__xludf.DUMMYFUNCTION("""COMPUTED_VALUE"""),"A Southern European country and consists of an archipelago situated centrally in the Mediterranean.")</f>
        <v>A Southern European country and consists of an archipelago situated centrally in the Mediterranean.</v>
      </c>
      <c r="H1701" s="54" t="s">
        <v>19</v>
      </c>
      <c r="I1701" s="54" t="s">
        <v>19</v>
      </c>
      <c r="J1701" s="54" t="s">
        <v>19</v>
      </c>
      <c r="K1701" s="52" t="str">
        <f t="shared" si="75"/>
        <v>International</v>
      </c>
    </row>
    <row r="1702">
      <c r="A1702" s="53"/>
      <c r="B1702" s="53" t="str">
        <f>IFERROR(__xludf.DUMMYFUNCTION("""COMPUTED_VALUE"""),"Marshall Islands [GAZ:00007161]                    ")</f>
        <v>Marshall Islands [GAZ:00007161]                    </v>
      </c>
      <c r="C1702" s="53" t="str">
        <f>IFERROR(__xludf.DUMMYFUNCTION("""COMPUTED_VALUE"""),"GAZ:00007161")</f>
        <v>GAZ:00007161</v>
      </c>
      <c r="D1702"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702" s="54" t="s">
        <v>19</v>
      </c>
      <c r="I1702" s="54" t="s">
        <v>19</v>
      </c>
      <c r="J1702" s="54" t="s">
        <v>19</v>
      </c>
      <c r="K1702" s="52" t="str">
        <f t="shared" si="75"/>
        <v>International</v>
      </c>
    </row>
    <row r="1703">
      <c r="A1703" s="53"/>
      <c r="B1703" s="53" t="str">
        <f>IFERROR(__xludf.DUMMYFUNCTION("""COMPUTED_VALUE"""),"Martinique [GAZ:00067143]                    ")</f>
        <v>Martinique [GAZ:00067143]                    </v>
      </c>
      <c r="C1703" s="53" t="str">
        <f>IFERROR(__xludf.DUMMYFUNCTION("""COMPUTED_VALUE"""),"GAZ:00067143")</f>
        <v>GAZ:00067143</v>
      </c>
      <c r="D1703" s="29" t="str">
        <f>IFERROR(__xludf.DUMMYFUNCTION("""COMPUTED_VALUE"""),"An island and an overseas department/region and single territorial collectivity of France.")</f>
        <v>An island and an overseas department/region and single territorial collectivity of France.</v>
      </c>
      <c r="H1703" s="54" t="s">
        <v>19</v>
      </c>
      <c r="I1703" s="54" t="s">
        <v>19</v>
      </c>
      <c r="J1703" s="54" t="s">
        <v>19</v>
      </c>
      <c r="K1703" s="52" t="str">
        <f t="shared" si="75"/>
        <v>International</v>
      </c>
    </row>
    <row r="1704">
      <c r="A1704" s="53"/>
      <c r="B1704" s="53" t="str">
        <f>IFERROR(__xludf.DUMMYFUNCTION("""COMPUTED_VALUE"""),"Mauritania [GAZ:00000583]                    ")</f>
        <v>Mauritania [GAZ:00000583]                    </v>
      </c>
      <c r="C1704" s="53" t="str">
        <f>IFERROR(__xludf.DUMMYFUNCTION("""COMPUTED_VALUE"""),"GAZ:00000583")</f>
        <v>GAZ:00000583</v>
      </c>
      <c r="D1704"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704" s="54" t="s">
        <v>19</v>
      </c>
      <c r="I1704" s="54" t="s">
        <v>19</v>
      </c>
      <c r="J1704" s="54" t="s">
        <v>19</v>
      </c>
      <c r="K1704" s="52" t="str">
        <f t="shared" si="75"/>
        <v>International</v>
      </c>
    </row>
    <row r="1705">
      <c r="A1705" s="53"/>
      <c r="B1705" s="53" t="str">
        <f>IFERROR(__xludf.DUMMYFUNCTION("""COMPUTED_VALUE"""),"Mauritius [GAZ:00003745]                    ")</f>
        <v>Mauritius [GAZ:00003745]                    </v>
      </c>
      <c r="C1705" s="53" t="str">
        <f>IFERROR(__xludf.DUMMYFUNCTION("""COMPUTED_VALUE"""),"GAZ:00003745")</f>
        <v>GAZ:00003745</v>
      </c>
      <c r="D1705"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705" s="54" t="s">
        <v>19</v>
      </c>
      <c r="I1705" s="54" t="s">
        <v>19</v>
      </c>
      <c r="J1705" s="54" t="s">
        <v>19</v>
      </c>
      <c r="K1705" s="52" t="str">
        <f t="shared" si="75"/>
        <v>International</v>
      </c>
    </row>
    <row r="1706">
      <c r="A1706" s="53"/>
      <c r="B1706" s="53" t="str">
        <f>IFERROR(__xludf.DUMMYFUNCTION("""COMPUTED_VALUE"""),"Mayotte [GAZ:00003943]                    ")</f>
        <v>Mayotte [GAZ:00003943]                    </v>
      </c>
      <c r="C1706" s="53" t="str">
        <f>IFERROR(__xludf.DUMMYFUNCTION("""COMPUTED_VALUE"""),"GAZ:00003943")</f>
        <v>GAZ:00003943</v>
      </c>
      <c r="D1706"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706" s="54" t="s">
        <v>19</v>
      </c>
      <c r="I1706" s="54" t="s">
        <v>19</v>
      </c>
      <c r="J1706" s="54" t="s">
        <v>19</v>
      </c>
      <c r="K1706" s="52" t="str">
        <f t="shared" si="75"/>
        <v>International</v>
      </c>
    </row>
    <row r="1707">
      <c r="A1707" s="53"/>
      <c r="B1707" s="53" t="str">
        <f>IFERROR(__xludf.DUMMYFUNCTION("""COMPUTED_VALUE"""),"Mexico [GAZ:00002852]                    ")</f>
        <v>Mexico [GAZ:00002852]                    </v>
      </c>
      <c r="C1707" s="53" t="str">
        <f>IFERROR(__xludf.DUMMYFUNCTION("""COMPUTED_VALUE"""),"GAZ:00002852")</f>
        <v>GAZ:00002852</v>
      </c>
      <c r="D1707"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707" s="54" t="s">
        <v>19</v>
      </c>
      <c r="I1707" s="54" t="s">
        <v>19</v>
      </c>
      <c r="J1707" s="54" t="s">
        <v>19</v>
      </c>
      <c r="K1707" s="52" t="str">
        <f t="shared" si="75"/>
        <v>International</v>
      </c>
    </row>
    <row r="1708">
      <c r="A1708" s="53"/>
      <c r="B1708" s="53" t="str">
        <f>IFERROR(__xludf.DUMMYFUNCTION("""COMPUTED_VALUE"""),"Micronesia [GAZ:00005862]                    ")</f>
        <v>Micronesia [GAZ:00005862]                    </v>
      </c>
      <c r="C1708" s="53" t="str">
        <f>IFERROR(__xludf.DUMMYFUNCTION("""COMPUTED_VALUE"""),"GAZ:00005862")</f>
        <v>GAZ:00005862</v>
      </c>
      <c r="D1708"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708" s="54" t="s">
        <v>19</v>
      </c>
      <c r="I1708" s="54" t="s">
        <v>19</v>
      </c>
      <c r="J1708" s="54" t="s">
        <v>19</v>
      </c>
      <c r="K1708" s="52" t="str">
        <f t="shared" si="75"/>
        <v>International</v>
      </c>
    </row>
    <row r="1709">
      <c r="A1709" s="53"/>
      <c r="B1709" s="53" t="str">
        <f>IFERROR(__xludf.DUMMYFUNCTION("""COMPUTED_VALUE"""),"Midway Islands [GAZ:00007112]                    ")</f>
        <v>Midway Islands [GAZ:00007112]                    </v>
      </c>
      <c r="C1709" s="53" t="str">
        <f>IFERROR(__xludf.DUMMYFUNCTION("""COMPUTED_VALUE"""),"GAZ:00007112")</f>
        <v>GAZ:00007112</v>
      </c>
      <c r="D1709"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709" s="54" t="s">
        <v>19</v>
      </c>
      <c r="I1709" s="54" t="s">
        <v>19</v>
      </c>
      <c r="J1709" s="54" t="s">
        <v>19</v>
      </c>
      <c r="K1709" s="52" t="str">
        <f t="shared" si="75"/>
        <v>International</v>
      </c>
    </row>
    <row r="1710">
      <c r="A1710" s="53"/>
      <c r="B1710" s="53" t="str">
        <f>IFERROR(__xludf.DUMMYFUNCTION("""COMPUTED_VALUE"""),"Moldova [GAZ:00003897]                    ")</f>
        <v>Moldova [GAZ:00003897]                    </v>
      </c>
      <c r="C1710" s="53" t="str">
        <f>IFERROR(__xludf.DUMMYFUNCTION("""COMPUTED_VALUE"""),"GAZ:00003897")</f>
        <v>GAZ:00003897</v>
      </c>
      <c r="D1710"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710" s="54" t="s">
        <v>19</v>
      </c>
      <c r="I1710" s="54" t="s">
        <v>19</v>
      </c>
      <c r="J1710" s="54" t="s">
        <v>19</v>
      </c>
      <c r="K1710" s="52" t="str">
        <f t="shared" si="75"/>
        <v>International</v>
      </c>
    </row>
    <row r="1711">
      <c r="A1711" s="53"/>
      <c r="B1711" s="53" t="str">
        <f>IFERROR(__xludf.DUMMYFUNCTION("""COMPUTED_VALUE"""),"Monaco [GAZ:00003857]                    ")</f>
        <v>Monaco [GAZ:00003857]                    </v>
      </c>
      <c r="C1711" s="53" t="str">
        <f>IFERROR(__xludf.DUMMYFUNCTION("""COMPUTED_VALUE"""),"GAZ:00003857")</f>
        <v>GAZ:00003857</v>
      </c>
      <c r="D1711"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711" s="54" t="s">
        <v>19</v>
      </c>
      <c r="I1711" s="54" t="s">
        <v>19</v>
      </c>
      <c r="J1711" s="54" t="s">
        <v>19</v>
      </c>
      <c r="K1711" s="52" t="str">
        <f t="shared" si="75"/>
        <v>International</v>
      </c>
    </row>
    <row r="1712">
      <c r="A1712" s="53"/>
      <c r="B1712" s="53" t="str">
        <f>IFERROR(__xludf.DUMMYFUNCTION("""COMPUTED_VALUE"""),"Mongolia [GAZ:00008744]                    ")</f>
        <v>Mongolia [GAZ:00008744]                    </v>
      </c>
      <c r="C1712" s="53" t="str">
        <f>IFERROR(__xludf.DUMMYFUNCTION("""COMPUTED_VALUE"""),"GAZ:00008744")</f>
        <v>GAZ:00008744</v>
      </c>
      <c r="D1712"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712" s="54" t="s">
        <v>19</v>
      </c>
      <c r="I1712" s="54" t="s">
        <v>19</v>
      </c>
      <c r="J1712" s="54" t="s">
        <v>19</v>
      </c>
      <c r="K1712" s="52" t="str">
        <f t="shared" si="75"/>
        <v>International</v>
      </c>
    </row>
    <row r="1713">
      <c r="A1713" s="53"/>
      <c r="B1713" s="53" t="str">
        <f>IFERROR(__xludf.DUMMYFUNCTION("""COMPUTED_VALUE"""),"Montenegro [GAZ:00006898]                    ")</f>
        <v>Montenegro [GAZ:00006898]                    </v>
      </c>
      <c r="C1713" s="53" t="str">
        <f>IFERROR(__xludf.DUMMYFUNCTION("""COMPUTED_VALUE"""),"GAZ:00006898")</f>
        <v>GAZ:00006898</v>
      </c>
      <c r="D1713"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713" s="54" t="s">
        <v>19</v>
      </c>
      <c r="I1713" s="54" t="s">
        <v>19</v>
      </c>
      <c r="J1713" s="54" t="s">
        <v>19</v>
      </c>
      <c r="K1713" s="52" t="str">
        <f t="shared" si="75"/>
        <v>International</v>
      </c>
    </row>
    <row r="1714">
      <c r="A1714" s="53"/>
      <c r="B1714" s="53" t="str">
        <f>IFERROR(__xludf.DUMMYFUNCTION("""COMPUTED_VALUE"""),"Montserrat [GAZ:00003988]                    ")</f>
        <v>Montserrat [GAZ:00003988]                    </v>
      </c>
      <c r="C1714" s="53" t="str">
        <f>IFERROR(__xludf.DUMMYFUNCTION("""COMPUTED_VALUE"""),"GAZ:00003988")</f>
        <v>GAZ:00003988</v>
      </c>
      <c r="D1714" s="29" t="str">
        <f>IFERROR(__xludf.DUMMYFUNCTION("""COMPUTED_VALUE"""),"A British overseas territory located in the Leeward Islands. Montserrat is divided into three parishes.")</f>
        <v>A British overseas territory located in the Leeward Islands. Montserrat is divided into three parishes.</v>
      </c>
      <c r="H1714" s="54" t="s">
        <v>19</v>
      </c>
      <c r="I1714" s="54" t="s">
        <v>19</v>
      </c>
      <c r="J1714" s="54" t="s">
        <v>19</v>
      </c>
      <c r="K1714" s="52" t="str">
        <f t="shared" si="75"/>
        <v>International</v>
      </c>
    </row>
    <row r="1715">
      <c r="A1715" s="53"/>
      <c r="B1715" s="53" t="str">
        <f>IFERROR(__xludf.DUMMYFUNCTION("""COMPUTED_VALUE"""),"Morocco [GAZ:00000565]                    ")</f>
        <v>Morocco [GAZ:00000565]                    </v>
      </c>
      <c r="C1715" s="53" t="str">
        <f>IFERROR(__xludf.DUMMYFUNCTION("""COMPUTED_VALUE"""),"GAZ:00000565")</f>
        <v>GAZ:00000565</v>
      </c>
      <c r="D1715"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715" s="54" t="s">
        <v>19</v>
      </c>
      <c r="I1715" s="54" t="s">
        <v>19</v>
      </c>
      <c r="J1715" s="54" t="s">
        <v>19</v>
      </c>
      <c r="K1715" s="52" t="str">
        <f t="shared" si="75"/>
        <v>International</v>
      </c>
    </row>
    <row r="1716">
      <c r="A1716" s="53"/>
      <c r="B1716" s="53" t="str">
        <f>IFERROR(__xludf.DUMMYFUNCTION("""COMPUTED_VALUE"""),"Mozambique [GAZ:00001100]                    ")</f>
        <v>Mozambique [GAZ:00001100]                    </v>
      </c>
      <c r="C1716" s="53" t="str">
        <f>IFERROR(__xludf.DUMMYFUNCTION("""COMPUTED_VALUE"""),"GAZ:00001100")</f>
        <v>GAZ:00001100</v>
      </c>
      <c r="D1716"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716" s="54" t="s">
        <v>19</v>
      </c>
      <c r="I1716" s="54" t="s">
        <v>19</v>
      </c>
      <c r="J1716" s="54" t="s">
        <v>19</v>
      </c>
      <c r="K1716" s="52" t="str">
        <f t="shared" si="75"/>
        <v>International</v>
      </c>
    </row>
    <row r="1717">
      <c r="A1717" s="53"/>
      <c r="B1717" s="53" t="str">
        <f>IFERROR(__xludf.DUMMYFUNCTION("""COMPUTED_VALUE"""),"Myanmar [GAZ:00006899]                    ")</f>
        <v>Myanmar [GAZ:00006899]                    </v>
      </c>
      <c r="C1717" s="53" t="str">
        <f>IFERROR(__xludf.DUMMYFUNCTION("""COMPUTED_VALUE"""),"GAZ:00006899")</f>
        <v>GAZ:00006899</v>
      </c>
      <c r="D1717"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717" s="54" t="s">
        <v>19</v>
      </c>
      <c r="I1717" s="54" t="s">
        <v>19</v>
      </c>
      <c r="J1717" s="54" t="s">
        <v>19</v>
      </c>
      <c r="K1717" s="52" t="str">
        <f t="shared" si="75"/>
        <v>International</v>
      </c>
    </row>
    <row r="1718">
      <c r="A1718" s="53"/>
      <c r="B1718" s="53" t="str">
        <f>IFERROR(__xludf.DUMMYFUNCTION("""COMPUTED_VALUE"""),"Namibia [GAZ:00001096]                    ")</f>
        <v>Namibia [GAZ:00001096]                    </v>
      </c>
      <c r="C1718" s="53" t="str">
        <f>IFERROR(__xludf.DUMMYFUNCTION("""COMPUTED_VALUE"""),"GAZ:00001096")</f>
        <v>GAZ:00001096</v>
      </c>
      <c r="D1718"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718" s="54" t="s">
        <v>19</v>
      </c>
      <c r="I1718" s="54" t="s">
        <v>19</v>
      </c>
      <c r="J1718" s="54" t="s">
        <v>19</v>
      </c>
      <c r="K1718" s="52" t="str">
        <f t="shared" si="75"/>
        <v>International</v>
      </c>
    </row>
    <row r="1719">
      <c r="A1719" s="53"/>
      <c r="B1719" s="53" t="str">
        <f>IFERROR(__xludf.DUMMYFUNCTION("""COMPUTED_VALUE"""),"Nauru [GAZ:00006900]                    ")</f>
        <v>Nauru [GAZ:00006900]                    </v>
      </c>
      <c r="C1719" s="53" t="str">
        <f>IFERROR(__xludf.DUMMYFUNCTION("""COMPUTED_VALUE"""),"GAZ:00006900")</f>
        <v>GAZ:00006900</v>
      </c>
      <c r="D1719"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719" s="54" t="s">
        <v>19</v>
      </c>
      <c r="I1719" s="54" t="s">
        <v>19</v>
      </c>
      <c r="J1719" s="54" t="s">
        <v>19</v>
      </c>
      <c r="K1719" s="52" t="str">
        <f t="shared" si="75"/>
        <v>International</v>
      </c>
    </row>
    <row r="1720">
      <c r="A1720" s="53"/>
      <c r="B1720" s="53" t="str">
        <f>IFERROR(__xludf.DUMMYFUNCTION("""COMPUTED_VALUE"""),"Navassa Island [GAZ:00007119]                    ")</f>
        <v>Navassa Island [GAZ:00007119]                    </v>
      </c>
      <c r="C1720" s="53" t="str">
        <f>IFERROR(__xludf.DUMMYFUNCTION("""COMPUTED_VALUE"""),"GAZ:00007119")</f>
        <v>GAZ:00007119</v>
      </c>
      <c r="D1720"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720" s="54" t="s">
        <v>19</v>
      </c>
      <c r="I1720" s="54" t="s">
        <v>19</v>
      </c>
      <c r="J1720" s="54" t="s">
        <v>19</v>
      </c>
      <c r="K1720" s="52" t="str">
        <f t="shared" si="75"/>
        <v>International</v>
      </c>
    </row>
    <row r="1721">
      <c r="A1721" s="53"/>
      <c r="B1721" s="53" t="str">
        <f>IFERROR(__xludf.DUMMYFUNCTION("""COMPUTED_VALUE"""),"Nepal [GAZ:00004399]                    ")</f>
        <v>Nepal [GAZ:00004399]                    </v>
      </c>
      <c r="C1721" s="53" t="str">
        <f>IFERROR(__xludf.DUMMYFUNCTION("""COMPUTED_VALUE"""),"GAZ:00004399")</f>
        <v>GAZ:00004399</v>
      </c>
      <c r="D1721"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721" s="54" t="s">
        <v>19</v>
      </c>
      <c r="I1721" s="54" t="s">
        <v>19</v>
      </c>
      <c r="J1721" s="54" t="s">
        <v>19</v>
      </c>
      <c r="K1721" s="52" t="str">
        <f t="shared" si="75"/>
        <v>International</v>
      </c>
    </row>
    <row r="1722">
      <c r="A1722" s="53"/>
      <c r="B1722" s="53" t="str">
        <f>IFERROR(__xludf.DUMMYFUNCTION("""COMPUTED_VALUE"""),"Netherlands [GAZ:00002946]                    ")</f>
        <v>Netherlands [GAZ:00002946]                    </v>
      </c>
      <c r="C1722" s="53" t="str">
        <f>IFERROR(__xludf.DUMMYFUNCTION("""COMPUTED_VALUE"""),"GAZ:00002946")</f>
        <v>GAZ:00002946</v>
      </c>
      <c r="D1722"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722" s="54" t="s">
        <v>19</v>
      </c>
      <c r="I1722" s="54" t="s">
        <v>19</v>
      </c>
      <c r="J1722" s="54" t="s">
        <v>19</v>
      </c>
      <c r="K1722" s="52" t="str">
        <f t="shared" si="75"/>
        <v>International</v>
      </c>
    </row>
    <row r="1723">
      <c r="A1723" s="53"/>
      <c r="B1723" s="53" t="str">
        <f>IFERROR(__xludf.DUMMYFUNCTION("""COMPUTED_VALUE"""),"New Caledonia [GAZ:00005206]                    ")</f>
        <v>New Caledonia [GAZ:00005206]                    </v>
      </c>
      <c r="C1723" s="53" t="str">
        <f>IFERROR(__xludf.DUMMYFUNCTION("""COMPUTED_VALUE"""),"GAZ:00005206")</f>
        <v>GAZ:00005206</v>
      </c>
      <c r="D1723"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723" s="54" t="s">
        <v>19</v>
      </c>
      <c r="I1723" s="54" t="s">
        <v>19</v>
      </c>
      <c r="J1723" s="54" t="s">
        <v>19</v>
      </c>
      <c r="K1723" s="52" t="str">
        <f t="shared" si="75"/>
        <v>International</v>
      </c>
    </row>
    <row r="1724">
      <c r="A1724" s="53"/>
      <c r="B1724" s="53" t="str">
        <f>IFERROR(__xludf.DUMMYFUNCTION("""COMPUTED_VALUE"""),"New Zealand [GAZ:00000469]                    ")</f>
        <v>New Zealand [GAZ:00000469]                    </v>
      </c>
      <c r="C1724" s="53" t="str">
        <f>IFERROR(__xludf.DUMMYFUNCTION("""COMPUTED_VALUE"""),"GAZ:00000469")</f>
        <v>GAZ:00000469</v>
      </c>
      <c r="D1724"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724" s="54" t="s">
        <v>19</v>
      </c>
      <c r="I1724" s="54" t="s">
        <v>19</v>
      </c>
      <c r="J1724" s="54" t="s">
        <v>19</v>
      </c>
      <c r="K1724" s="52" t="str">
        <f t="shared" si="75"/>
        <v>International</v>
      </c>
    </row>
    <row r="1725">
      <c r="A1725" s="53"/>
      <c r="B1725" s="53" t="str">
        <f>IFERROR(__xludf.DUMMYFUNCTION("""COMPUTED_VALUE"""),"Nicaragua [GAZ:00002978]                    ")</f>
        <v>Nicaragua [GAZ:00002978]                    </v>
      </c>
      <c r="C1725" s="53" t="str">
        <f>IFERROR(__xludf.DUMMYFUNCTION("""COMPUTED_VALUE"""),"GAZ:00002978")</f>
        <v>GAZ:00002978</v>
      </c>
      <c r="D1725"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725" s="54" t="s">
        <v>19</v>
      </c>
      <c r="I1725" s="54" t="s">
        <v>19</v>
      </c>
      <c r="J1725" s="54" t="s">
        <v>19</v>
      </c>
      <c r="K1725" s="52" t="str">
        <f t="shared" si="75"/>
        <v>International</v>
      </c>
    </row>
    <row r="1726">
      <c r="A1726" s="53"/>
      <c r="B1726" s="53" t="str">
        <f>IFERROR(__xludf.DUMMYFUNCTION("""COMPUTED_VALUE"""),"Niger [GAZ:00000585]                    ")</f>
        <v>Niger [GAZ:00000585]                    </v>
      </c>
      <c r="C1726" s="53" t="str">
        <f>IFERROR(__xludf.DUMMYFUNCTION("""COMPUTED_VALUE"""),"GAZ:00000585")</f>
        <v>GAZ:00000585</v>
      </c>
      <c r="D1726"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726" s="54" t="s">
        <v>19</v>
      </c>
      <c r="I1726" s="54" t="s">
        <v>19</v>
      </c>
      <c r="J1726" s="54" t="s">
        <v>19</v>
      </c>
      <c r="K1726" s="52" t="str">
        <f t="shared" si="75"/>
        <v>International</v>
      </c>
    </row>
    <row r="1727">
      <c r="A1727" s="53"/>
      <c r="B1727" s="53" t="str">
        <f>IFERROR(__xludf.DUMMYFUNCTION("""COMPUTED_VALUE"""),"Nigeria [GAZ:00000912]                    ")</f>
        <v>Nigeria [GAZ:00000912]                    </v>
      </c>
      <c r="C1727" s="53" t="str">
        <f>IFERROR(__xludf.DUMMYFUNCTION("""COMPUTED_VALUE"""),"GAZ:00000912")</f>
        <v>GAZ:00000912</v>
      </c>
      <c r="D1727"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727" s="54" t="s">
        <v>19</v>
      </c>
      <c r="I1727" s="54" t="s">
        <v>19</v>
      </c>
      <c r="J1727" s="54" t="s">
        <v>19</v>
      </c>
      <c r="K1727" s="52" t="str">
        <f t="shared" si="75"/>
        <v>International</v>
      </c>
    </row>
    <row r="1728">
      <c r="A1728" s="53"/>
      <c r="B1728" s="53" t="str">
        <f>IFERROR(__xludf.DUMMYFUNCTION("""COMPUTED_VALUE"""),"Niue [GAZ:00006902]                    ")</f>
        <v>Niue [GAZ:00006902]                    </v>
      </c>
      <c r="C1728" s="53" t="str">
        <f>IFERROR(__xludf.DUMMYFUNCTION("""COMPUTED_VALUE"""),"GAZ:00006902")</f>
        <v>GAZ:00006902</v>
      </c>
      <c r="D1728"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728" s="54" t="s">
        <v>19</v>
      </c>
      <c r="I1728" s="54" t="s">
        <v>19</v>
      </c>
      <c r="J1728" s="54" t="s">
        <v>19</v>
      </c>
      <c r="K1728" s="52" t="str">
        <f t="shared" si="75"/>
        <v>International</v>
      </c>
    </row>
    <row r="1729">
      <c r="A1729" s="53"/>
      <c r="B1729" s="53" t="str">
        <f>IFERROR(__xludf.DUMMYFUNCTION("""COMPUTED_VALUE"""),"Norfolk Island [GAZ:00005908]                    ")</f>
        <v>Norfolk Island [GAZ:00005908]                    </v>
      </c>
      <c r="C1729" s="53" t="str">
        <f>IFERROR(__xludf.DUMMYFUNCTION("""COMPUTED_VALUE"""),"GAZ:00005908")</f>
        <v>GAZ:00005908</v>
      </c>
      <c r="D1729" s="29" t="str">
        <f>IFERROR(__xludf.DUMMYFUNCTION("""COMPUTED_VALUE"""),"A Territory of Australia that includes Norfolk Island and neighboring islands.")</f>
        <v>A Territory of Australia that includes Norfolk Island and neighboring islands.</v>
      </c>
      <c r="H1729" s="54" t="s">
        <v>19</v>
      </c>
      <c r="I1729" s="54" t="s">
        <v>19</v>
      </c>
      <c r="J1729" s="54" t="s">
        <v>19</v>
      </c>
      <c r="K1729" s="52" t="str">
        <f t="shared" si="75"/>
        <v>International</v>
      </c>
    </row>
    <row r="1730">
      <c r="A1730" s="53"/>
      <c r="B1730" s="53" t="str">
        <f>IFERROR(__xludf.DUMMYFUNCTION("""COMPUTED_VALUE"""),"North Korea [GAZ:00002801]                    ")</f>
        <v>North Korea [GAZ:00002801]                    </v>
      </c>
      <c r="C1730" s="53" t="str">
        <f>IFERROR(__xludf.DUMMYFUNCTION("""COMPUTED_VALUE"""),"GAZ:00002801")</f>
        <v>GAZ:00002801</v>
      </c>
      <c r="D1730"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730" s="54" t="s">
        <v>19</v>
      </c>
      <c r="I1730" s="54" t="s">
        <v>19</v>
      </c>
      <c r="J1730" s="54" t="s">
        <v>19</v>
      </c>
      <c r="K1730" s="52" t="str">
        <f t="shared" si="75"/>
        <v>International</v>
      </c>
    </row>
    <row r="1731">
      <c r="A1731" s="53"/>
      <c r="B1731" s="53" t="str">
        <f>IFERROR(__xludf.DUMMYFUNCTION("""COMPUTED_VALUE"""),"North Macedonia [GAZ:00006895]                    ")</f>
        <v>North Macedonia [GAZ:00006895]                    </v>
      </c>
      <c r="C1731" s="53" t="str">
        <f>IFERROR(__xludf.DUMMYFUNCTION("""COMPUTED_VALUE"""),"GAZ:00006895")</f>
        <v>GAZ:00006895</v>
      </c>
      <c r="D1731"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731" s="54" t="s">
        <v>19</v>
      </c>
      <c r="I1731" s="54" t="s">
        <v>19</v>
      </c>
      <c r="J1731" s="54" t="s">
        <v>19</v>
      </c>
      <c r="K1731" s="52" t="str">
        <f t="shared" si="75"/>
        <v>International</v>
      </c>
    </row>
    <row r="1732">
      <c r="A1732" s="53"/>
      <c r="B1732" s="53" t="str">
        <f>IFERROR(__xludf.DUMMYFUNCTION("""COMPUTED_VALUE"""),"North Sea [GAZ:00002284]                    ")</f>
        <v>North Sea [GAZ:00002284]                    </v>
      </c>
      <c r="C1732" s="53" t="str">
        <f>IFERROR(__xludf.DUMMYFUNCTION("""COMPUTED_VALUE"""),"GAZ:00002284")</f>
        <v>GAZ:00002284</v>
      </c>
      <c r="D1732" s="29" t="str">
        <f>IFERROR(__xludf.DUMMYFUNCTION("""COMPUTED_VALUE"""),"A sea situated between the eastern coasts of the British Isles and the western coast of Europe.")</f>
        <v>A sea situated between the eastern coasts of the British Isles and the western coast of Europe.</v>
      </c>
      <c r="H1732" s="54" t="s">
        <v>19</v>
      </c>
      <c r="I1732" s="54" t="s">
        <v>19</v>
      </c>
      <c r="J1732" s="54" t="s">
        <v>19</v>
      </c>
      <c r="K1732" s="52" t="str">
        <f t="shared" si="75"/>
        <v>International</v>
      </c>
    </row>
    <row r="1733">
      <c r="A1733" s="53"/>
      <c r="B1733" s="53" t="str">
        <f>IFERROR(__xludf.DUMMYFUNCTION("""COMPUTED_VALUE"""),"Northern Mariana Islands [GAZ:00003958]                    ")</f>
        <v>Northern Mariana Islands [GAZ:00003958]                    </v>
      </c>
      <c r="C1733" s="53" t="str">
        <f>IFERROR(__xludf.DUMMYFUNCTION("""COMPUTED_VALUE"""),"GAZ:00003958")</f>
        <v>GAZ:00003958</v>
      </c>
      <c r="D1733" s="29" t="str">
        <f>IFERROR(__xludf.DUMMYFUNCTION("""COMPUTED_VALUE"""),"A group of 15 islands about three-quarters of the way from Hawaii to the Philippines.")</f>
        <v>A group of 15 islands about three-quarters of the way from Hawaii to the Philippines.</v>
      </c>
      <c r="H1733" s="54" t="s">
        <v>19</v>
      </c>
      <c r="I1733" s="54" t="s">
        <v>19</v>
      </c>
      <c r="J1733" s="54" t="s">
        <v>19</v>
      </c>
      <c r="K1733" s="52" t="str">
        <f t="shared" si="75"/>
        <v>International</v>
      </c>
    </row>
    <row r="1734">
      <c r="A1734" s="53"/>
      <c r="B1734" s="53" t="str">
        <f>IFERROR(__xludf.DUMMYFUNCTION("""COMPUTED_VALUE"""),"Norway [GAZ:00002699]                    ")</f>
        <v>Norway [GAZ:00002699]                    </v>
      </c>
      <c r="C1734" s="53" t="str">
        <f>IFERROR(__xludf.DUMMYFUNCTION("""COMPUTED_VALUE"""),"GAZ:00002699")</f>
        <v>GAZ:00002699</v>
      </c>
      <c r="D1734"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734" s="54" t="s">
        <v>19</v>
      </c>
      <c r="I1734" s="54" t="s">
        <v>19</v>
      </c>
      <c r="J1734" s="54" t="s">
        <v>19</v>
      </c>
      <c r="K1734" s="52" t="str">
        <f t="shared" si="75"/>
        <v>International</v>
      </c>
    </row>
    <row r="1735">
      <c r="A1735" s="53"/>
      <c r="B1735" s="53" t="str">
        <f>IFERROR(__xludf.DUMMYFUNCTION("""COMPUTED_VALUE"""),"Oman [GAZ:00005283]                    ")</f>
        <v>Oman [GAZ:00005283]                    </v>
      </c>
      <c r="C1735" s="53" t="str">
        <f>IFERROR(__xludf.DUMMYFUNCTION("""COMPUTED_VALUE"""),"GAZ:00005283")</f>
        <v>GAZ:00005283</v>
      </c>
      <c r="D1735"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735" s="54" t="s">
        <v>19</v>
      </c>
      <c r="I1735" s="54" t="s">
        <v>19</v>
      </c>
      <c r="J1735" s="54" t="s">
        <v>19</v>
      </c>
      <c r="K1735" s="52" t="str">
        <f t="shared" si="75"/>
        <v>International</v>
      </c>
    </row>
    <row r="1736">
      <c r="A1736" s="53"/>
      <c r="B1736" s="53" t="str">
        <f>IFERROR(__xludf.DUMMYFUNCTION("""COMPUTED_VALUE"""),"Pakistan [GAZ:00005246]                    ")</f>
        <v>Pakistan [GAZ:00005246]                    </v>
      </c>
      <c r="C1736" s="53" t="str">
        <f>IFERROR(__xludf.DUMMYFUNCTION("""COMPUTED_VALUE"""),"GAZ:00005246")</f>
        <v>GAZ:00005246</v>
      </c>
      <c r="D1736"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736" s="54" t="s">
        <v>19</v>
      </c>
      <c r="I1736" s="54" t="s">
        <v>19</v>
      </c>
      <c r="J1736" s="54" t="s">
        <v>19</v>
      </c>
      <c r="K1736" s="52" t="str">
        <f t="shared" si="75"/>
        <v>International</v>
      </c>
    </row>
    <row r="1737">
      <c r="A1737" s="53"/>
      <c r="B1737" s="53" t="str">
        <f>IFERROR(__xludf.DUMMYFUNCTION("""COMPUTED_VALUE"""),"Palau [GAZ:00006905]                    ")</f>
        <v>Palau [GAZ:00006905]                    </v>
      </c>
      <c r="C1737" s="53" t="str">
        <f>IFERROR(__xludf.DUMMYFUNCTION("""COMPUTED_VALUE"""),"GAZ:00006905")</f>
        <v>GAZ:00006905</v>
      </c>
      <c r="D1737"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737" s="54" t="s">
        <v>19</v>
      </c>
      <c r="I1737" s="54" t="s">
        <v>19</v>
      </c>
      <c r="J1737" s="54" t="s">
        <v>19</v>
      </c>
      <c r="K1737" s="52" t="str">
        <f t="shared" si="75"/>
        <v>International</v>
      </c>
    </row>
    <row r="1738">
      <c r="A1738" s="53"/>
      <c r="B1738" s="53" t="str">
        <f>IFERROR(__xludf.DUMMYFUNCTION("""COMPUTED_VALUE"""),"Panama [GAZ:00002892]                    ")</f>
        <v>Panama [GAZ:00002892]                    </v>
      </c>
      <c r="C1738" s="53" t="str">
        <f>IFERROR(__xludf.DUMMYFUNCTION("""COMPUTED_VALUE"""),"GAZ:00002892")</f>
        <v>GAZ:00002892</v>
      </c>
      <c r="D1738"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738" s="54" t="s">
        <v>19</v>
      </c>
      <c r="I1738" s="54" t="s">
        <v>19</v>
      </c>
      <c r="J1738" s="54" t="s">
        <v>19</v>
      </c>
      <c r="K1738" s="52" t="str">
        <f t="shared" si="75"/>
        <v>International</v>
      </c>
    </row>
    <row r="1739">
      <c r="A1739" s="53"/>
      <c r="B1739" s="53" t="str">
        <f>IFERROR(__xludf.DUMMYFUNCTION("""COMPUTED_VALUE"""),"Papua New Guinea [GAZ:00003922]                    ")</f>
        <v>Papua New Guinea [GAZ:00003922]                    </v>
      </c>
      <c r="C1739" s="53" t="str">
        <f>IFERROR(__xludf.DUMMYFUNCTION("""COMPUTED_VALUE"""),"GAZ:00003922")</f>
        <v>GAZ:00003922</v>
      </c>
      <c r="D1739"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739" s="54" t="s">
        <v>19</v>
      </c>
      <c r="I1739" s="54" t="s">
        <v>19</v>
      </c>
      <c r="J1739" s="54" t="s">
        <v>19</v>
      </c>
      <c r="K1739" s="52" t="str">
        <f t="shared" si="75"/>
        <v>International</v>
      </c>
    </row>
    <row r="1740">
      <c r="A1740" s="53"/>
      <c r="B1740" s="53" t="str">
        <f>IFERROR(__xludf.DUMMYFUNCTION("""COMPUTED_VALUE"""),"Paracel Islands [GAZ:00010832]                    ")</f>
        <v>Paracel Islands [GAZ:00010832]                    </v>
      </c>
      <c r="C1740" s="53" t="str">
        <f>IFERROR(__xludf.DUMMYFUNCTION("""COMPUTED_VALUE"""),"GAZ:00010832")</f>
        <v>GAZ:00010832</v>
      </c>
      <c r="D1740"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740" s="54" t="s">
        <v>19</v>
      </c>
      <c r="I1740" s="54" t="s">
        <v>19</v>
      </c>
      <c r="J1740" s="54" t="s">
        <v>19</v>
      </c>
      <c r="K1740" s="52" t="str">
        <f t="shared" si="75"/>
        <v>International</v>
      </c>
    </row>
    <row r="1741">
      <c r="A1741" s="53"/>
      <c r="B1741" s="53" t="str">
        <f>IFERROR(__xludf.DUMMYFUNCTION("""COMPUTED_VALUE"""),"Paraguay [GAZ:00002933]                    ")</f>
        <v>Paraguay [GAZ:00002933]                    </v>
      </c>
      <c r="C1741" s="53" t="str">
        <f>IFERROR(__xludf.DUMMYFUNCTION("""COMPUTED_VALUE"""),"GAZ:00002933")</f>
        <v>GAZ:00002933</v>
      </c>
      <c r="D1741"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741" s="54" t="s">
        <v>19</v>
      </c>
      <c r="I1741" s="54" t="s">
        <v>19</v>
      </c>
      <c r="J1741" s="54" t="s">
        <v>19</v>
      </c>
      <c r="K1741" s="52" t="str">
        <f t="shared" si="75"/>
        <v>International</v>
      </c>
    </row>
    <row r="1742">
      <c r="A1742" s="53"/>
      <c r="B1742" s="53" t="str">
        <f>IFERROR(__xludf.DUMMYFUNCTION("""COMPUTED_VALUE"""),"Peru [GAZ:00002932]                    ")</f>
        <v>Peru [GAZ:00002932]                    </v>
      </c>
      <c r="C1742" s="53" t="str">
        <f>IFERROR(__xludf.DUMMYFUNCTION("""COMPUTED_VALUE"""),"GAZ:00002932")</f>
        <v>GAZ:00002932</v>
      </c>
      <c r="D1742"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742" s="54" t="s">
        <v>19</v>
      </c>
      <c r="I1742" s="54" t="s">
        <v>19</v>
      </c>
      <c r="J1742" s="54" t="s">
        <v>19</v>
      </c>
      <c r="K1742" s="52" t="str">
        <f t="shared" si="75"/>
        <v>International</v>
      </c>
    </row>
    <row r="1743">
      <c r="A1743" s="53"/>
      <c r="B1743" s="53" t="str">
        <f>IFERROR(__xludf.DUMMYFUNCTION("""COMPUTED_VALUE"""),"Philippines [GAZ:00004525]                    ")</f>
        <v>Philippines [GAZ:00004525]                    </v>
      </c>
      <c r="C1743" s="53" t="str">
        <f>IFERROR(__xludf.DUMMYFUNCTION("""COMPUTED_VALUE"""),"GAZ:00004525")</f>
        <v>GAZ:00004525</v>
      </c>
      <c r="D1743"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743" s="54" t="s">
        <v>19</v>
      </c>
      <c r="I1743" s="54" t="s">
        <v>19</v>
      </c>
      <c r="J1743" s="54" t="s">
        <v>19</v>
      </c>
      <c r="K1743" s="52" t="str">
        <f t="shared" si="75"/>
        <v>International</v>
      </c>
    </row>
    <row r="1744">
      <c r="A1744" s="53"/>
      <c r="B1744" s="53" t="str">
        <f>IFERROR(__xludf.DUMMYFUNCTION("""COMPUTED_VALUE"""),"Pitcairn Islands [GAZ:00005867]                    ")</f>
        <v>Pitcairn Islands [GAZ:00005867]                    </v>
      </c>
      <c r="C1744" s="53" t="str">
        <f>IFERROR(__xludf.DUMMYFUNCTION("""COMPUTED_VALUE"""),"GAZ:00005867")</f>
        <v>GAZ:00005867</v>
      </c>
      <c r="D1744"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744" s="54" t="s">
        <v>19</v>
      </c>
      <c r="I1744" s="54" t="s">
        <v>19</v>
      </c>
      <c r="J1744" s="54" t="s">
        <v>19</v>
      </c>
      <c r="K1744" s="52" t="str">
        <f t="shared" si="75"/>
        <v>International</v>
      </c>
    </row>
    <row r="1745">
      <c r="A1745" s="53"/>
      <c r="B1745" s="53" t="str">
        <f>IFERROR(__xludf.DUMMYFUNCTION("""COMPUTED_VALUE"""),"Poland [GAZ:00002939]                    ")</f>
        <v>Poland [GAZ:00002939]                    </v>
      </c>
      <c r="C1745" s="53" t="str">
        <f>IFERROR(__xludf.DUMMYFUNCTION("""COMPUTED_VALUE"""),"GAZ:00002939")</f>
        <v>GAZ:00002939</v>
      </c>
      <c r="D1745"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745" s="54" t="s">
        <v>19</v>
      </c>
      <c r="I1745" s="54" t="s">
        <v>19</v>
      </c>
      <c r="J1745" s="54" t="s">
        <v>19</v>
      </c>
      <c r="K1745" s="52" t="str">
        <f t="shared" si="75"/>
        <v>International</v>
      </c>
    </row>
    <row r="1746">
      <c r="A1746" s="53"/>
      <c r="B1746" s="53" t="str">
        <f>IFERROR(__xludf.DUMMYFUNCTION("""COMPUTED_VALUE"""),"Portugal [GAZ:00004126]                    ")</f>
        <v>Portugal [GAZ:00004126]                    </v>
      </c>
      <c r="C1746" s="53" t="str">
        <f>IFERROR(__xludf.DUMMYFUNCTION("""COMPUTED_VALUE"""),"GAZ:00004126")</f>
        <v>GAZ:00004126</v>
      </c>
      <c r="D1746"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746" s="54" t="s">
        <v>19</v>
      </c>
      <c r="I1746" s="54" t="s">
        <v>19</v>
      </c>
      <c r="J1746" s="54" t="s">
        <v>19</v>
      </c>
      <c r="K1746" s="52" t="str">
        <f t="shared" si="75"/>
        <v>International</v>
      </c>
    </row>
    <row r="1747">
      <c r="A1747" s="53"/>
      <c r="B1747" s="53" t="str">
        <f>IFERROR(__xludf.DUMMYFUNCTION("""COMPUTED_VALUE"""),"Puerto Rico [GAZ:00006935]                    ")</f>
        <v>Puerto Rico [GAZ:00006935]                    </v>
      </c>
      <c r="C1747" s="53" t="str">
        <f>IFERROR(__xludf.DUMMYFUNCTION("""COMPUTED_VALUE"""),"GAZ:00006935")</f>
        <v>GAZ:00006935</v>
      </c>
      <c r="D1747"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747" s="54" t="s">
        <v>19</v>
      </c>
      <c r="I1747" s="54" t="s">
        <v>19</v>
      </c>
      <c r="J1747" s="54" t="s">
        <v>19</v>
      </c>
      <c r="K1747" s="52" t="str">
        <f t="shared" si="75"/>
        <v>International</v>
      </c>
    </row>
    <row r="1748">
      <c r="A1748" s="53"/>
      <c r="B1748" s="53" t="str">
        <f>IFERROR(__xludf.DUMMYFUNCTION("""COMPUTED_VALUE"""),"Qatar [GAZ:00005286]                    ")</f>
        <v>Qatar [GAZ:00005286]                    </v>
      </c>
      <c r="C1748" s="53" t="str">
        <f>IFERROR(__xludf.DUMMYFUNCTION("""COMPUTED_VALUE"""),"GAZ:00005286")</f>
        <v>GAZ:00005286</v>
      </c>
      <c r="D1748"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748" s="54" t="s">
        <v>19</v>
      </c>
      <c r="I1748" s="54" t="s">
        <v>19</v>
      </c>
      <c r="J1748" s="54" t="s">
        <v>19</v>
      </c>
      <c r="K1748" s="52" t="str">
        <f t="shared" si="75"/>
        <v>International</v>
      </c>
    </row>
    <row r="1749">
      <c r="A1749" s="53"/>
      <c r="B1749" s="53" t="str">
        <f>IFERROR(__xludf.DUMMYFUNCTION("""COMPUTED_VALUE"""),"Republic of the Congo [GAZ:00001088]                    ")</f>
        <v>Republic of the Congo [GAZ:00001088]                    </v>
      </c>
      <c r="C1749" s="53" t="str">
        <f>IFERROR(__xludf.DUMMYFUNCTION("""COMPUTED_VALUE"""),"GAZ:00001088")</f>
        <v>GAZ:00001088</v>
      </c>
      <c r="D1749"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749" s="54" t="s">
        <v>19</v>
      </c>
      <c r="I1749" s="54" t="s">
        <v>19</v>
      </c>
      <c r="J1749" s="54" t="s">
        <v>19</v>
      </c>
      <c r="K1749" s="52" t="str">
        <f t="shared" si="75"/>
        <v>International</v>
      </c>
    </row>
    <row r="1750">
      <c r="A1750" s="53"/>
      <c r="B1750" s="53" t="str">
        <f>IFERROR(__xludf.DUMMYFUNCTION("""COMPUTED_VALUE"""),"Reunion [GAZ:00003945]                    ")</f>
        <v>Reunion [GAZ:00003945]                    </v>
      </c>
      <c r="C1750" s="53" t="str">
        <f>IFERROR(__xludf.DUMMYFUNCTION("""COMPUTED_VALUE"""),"GAZ:00003945")</f>
        <v>GAZ:00003945</v>
      </c>
      <c r="D1750"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750" s="54" t="s">
        <v>19</v>
      </c>
      <c r="I1750" s="54" t="s">
        <v>19</v>
      </c>
      <c r="J1750" s="54" t="s">
        <v>19</v>
      </c>
      <c r="K1750" s="52" t="str">
        <f t="shared" si="75"/>
        <v>International</v>
      </c>
    </row>
    <row r="1751">
      <c r="A1751" s="53"/>
      <c r="B1751" s="53" t="str">
        <f>IFERROR(__xludf.DUMMYFUNCTION("""COMPUTED_VALUE"""),"Romania [GAZ:00002951]                    ")</f>
        <v>Romania [GAZ:00002951]                    </v>
      </c>
      <c r="C1751" s="53" t="str">
        <f>IFERROR(__xludf.DUMMYFUNCTION("""COMPUTED_VALUE"""),"GAZ:00002951")</f>
        <v>GAZ:00002951</v>
      </c>
      <c r="D1751"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751" s="54" t="s">
        <v>19</v>
      </c>
      <c r="I1751" s="54" t="s">
        <v>19</v>
      </c>
      <c r="J1751" s="54" t="s">
        <v>19</v>
      </c>
      <c r="K1751" s="52" t="str">
        <f t="shared" si="75"/>
        <v>International</v>
      </c>
    </row>
    <row r="1752">
      <c r="A1752" s="53"/>
      <c r="B1752" s="53" t="str">
        <f>IFERROR(__xludf.DUMMYFUNCTION("""COMPUTED_VALUE"""),"Ross Sea [GAZ:00023304]                    ")</f>
        <v>Ross Sea [GAZ:00023304]                    </v>
      </c>
      <c r="C1752" s="53" t="str">
        <f>IFERROR(__xludf.DUMMYFUNCTION("""COMPUTED_VALUE"""),"GAZ:00023304")</f>
        <v>GAZ:00023304</v>
      </c>
      <c r="D1752"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752" s="54" t="s">
        <v>19</v>
      </c>
      <c r="I1752" s="54" t="s">
        <v>19</v>
      </c>
      <c r="J1752" s="54" t="s">
        <v>19</v>
      </c>
      <c r="K1752" s="52" t="str">
        <f t="shared" si="75"/>
        <v>International</v>
      </c>
    </row>
    <row r="1753">
      <c r="A1753" s="53"/>
      <c r="B1753" s="53" t="str">
        <f>IFERROR(__xludf.DUMMYFUNCTION("""COMPUTED_VALUE"""),"Russia [GAZ:00002721]                    ")</f>
        <v>Russia [GAZ:00002721]                    </v>
      </c>
      <c r="C1753" s="53" t="str">
        <f>IFERROR(__xludf.DUMMYFUNCTION("""COMPUTED_VALUE"""),"GAZ:00002721")</f>
        <v>GAZ:00002721</v>
      </c>
      <c r="D1753"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753" s="54" t="s">
        <v>19</v>
      </c>
      <c r="I1753" s="54" t="s">
        <v>19</v>
      </c>
      <c r="J1753" s="54" t="s">
        <v>19</v>
      </c>
      <c r="K1753" s="52" t="str">
        <f t="shared" si="75"/>
        <v>International</v>
      </c>
    </row>
    <row r="1754">
      <c r="A1754" s="53"/>
      <c r="B1754" s="53" t="str">
        <f>IFERROR(__xludf.DUMMYFUNCTION("""COMPUTED_VALUE"""),"Rwanda [GAZ:00001087]                    ")</f>
        <v>Rwanda [GAZ:00001087]                    </v>
      </c>
      <c r="C1754" s="53" t="str">
        <f>IFERROR(__xludf.DUMMYFUNCTION("""COMPUTED_VALUE"""),"GAZ:00001087")</f>
        <v>GAZ:00001087</v>
      </c>
      <c r="D1754"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754" s="54" t="s">
        <v>19</v>
      </c>
      <c r="I1754" s="54" t="s">
        <v>19</v>
      </c>
      <c r="J1754" s="54" t="s">
        <v>19</v>
      </c>
      <c r="K1754" s="52" t="str">
        <f t="shared" si="75"/>
        <v>International</v>
      </c>
    </row>
    <row r="1755">
      <c r="A1755" s="53"/>
      <c r="B1755" s="53" t="str">
        <f>IFERROR(__xludf.DUMMYFUNCTION("""COMPUTED_VALUE"""),"Saint Helena [GAZ:00000849]                    ")</f>
        <v>Saint Helena [GAZ:00000849]                    </v>
      </c>
      <c r="C1755" s="53" t="str">
        <f>IFERROR(__xludf.DUMMYFUNCTION("""COMPUTED_VALUE"""),"GAZ:00000849")</f>
        <v>GAZ:00000849</v>
      </c>
      <c r="D1755" s="29" t="str">
        <f>IFERROR(__xludf.DUMMYFUNCTION("""COMPUTED_VALUE"""),"An island of volcanic origin and a British overseas territory in the South Atlantic Ocean.")</f>
        <v>An island of volcanic origin and a British overseas territory in the South Atlantic Ocean.</v>
      </c>
      <c r="H1755" s="54" t="s">
        <v>19</v>
      </c>
      <c r="I1755" s="54" t="s">
        <v>19</v>
      </c>
      <c r="J1755" s="54" t="s">
        <v>19</v>
      </c>
      <c r="K1755" s="52" t="str">
        <f t="shared" si="75"/>
        <v>International</v>
      </c>
    </row>
    <row r="1756">
      <c r="A1756" s="53"/>
      <c r="B1756" s="53" t="str">
        <f>IFERROR(__xludf.DUMMYFUNCTION("""COMPUTED_VALUE"""),"Saint Kitts and Nevis [GAZ:00006906]                    ")</f>
        <v>Saint Kitts and Nevis [GAZ:00006906]                    </v>
      </c>
      <c r="C1756" s="53" t="str">
        <f>IFERROR(__xludf.DUMMYFUNCTION("""COMPUTED_VALUE"""),"GAZ:00006906")</f>
        <v>GAZ:00006906</v>
      </c>
      <c r="D1756"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756" s="54" t="s">
        <v>19</v>
      </c>
      <c r="I1756" s="54" t="s">
        <v>19</v>
      </c>
      <c r="J1756" s="54" t="s">
        <v>19</v>
      </c>
      <c r="K1756" s="52" t="str">
        <f t="shared" si="75"/>
        <v>International</v>
      </c>
    </row>
    <row r="1757">
      <c r="A1757" s="53"/>
      <c r="B1757" s="53" t="str">
        <f>IFERROR(__xludf.DUMMYFUNCTION("""COMPUTED_VALUE"""),"Saint Lucia [GAZ:00006909]                    ")</f>
        <v>Saint Lucia [GAZ:00006909]                    </v>
      </c>
      <c r="C1757" s="53" t="str">
        <f>IFERROR(__xludf.DUMMYFUNCTION("""COMPUTED_VALUE"""),"GAZ:00006909")</f>
        <v>GAZ:00006909</v>
      </c>
      <c r="D1757" s="29" t="str">
        <f>IFERROR(__xludf.DUMMYFUNCTION("""COMPUTED_VALUE"""),"An island nation in the eastern Caribbean Sea on the boundary with the Atlantic Ocean.")</f>
        <v>An island nation in the eastern Caribbean Sea on the boundary with the Atlantic Ocean.</v>
      </c>
      <c r="H1757" s="54" t="s">
        <v>19</v>
      </c>
      <c r="I1757" s="54" t="s">
        <v>19</v>
      </c>
      <c r="J1757" s="54" t="s">
        <v>19</v>
      </c>
      <c r="K1757" s="52" t="str">
        <f t="shared" si="75"/>
        <v>International</v>
      </c>
    </row>
    <row r="1758">
      <c r="A1758" s="53"/>
      <c r="B1758" s="53" t="str">
        <f>IFERROR(__xludf.DUMMYFUNCTION("""COMPUTED_VALUE"""),"Saint Pierre and Miquelon [GAZ:00003942]                    ")</f>
        <v>Saint Pierre and Miquelon [GAZ:00003942]                    </v>
      </c>
      <c r="C1758" s="53" t="str">
        <f>IFERROR(__xludf.DUMMYFUNCTION("""COMPUTED_VALUE"""),"GAZ:00003942")</f>
        <v>GAZ:00003942</v>
      </c>
      <c r="D1758"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758" s="54" t="s">
        <v>19</v>
      </c>
      <c r="I1758" s="54" t="s">
        <v>19</v>
      </c>
      <c r="J1758" s="54" t="s">
        <v>19</v>
      </c>
      <c r="K1758" s="52" t="str">
        <f t="shared" si="75"/>
        <v>International</v>
      </c>
    </row>
    <row r="1759">
      <c r="A1759" s="53"/>
      <c r="B1759" s="53" t="str">
        <f>IFERROR(__xludf.DUMMYFUNCTION("""COMPUTED_VALUE"""),"Saint Martin [GAZ:00005841]                    ")</f>
        <v>Saint Martin [GAZ:00005841]                    </v>
      </c>
      <c r="C1759" s="53" t="str">
        <f>IFERROR(__xludf.DUMMYFUNCTION("""COMPUTED_VALUE"""),"GAZ:00005841")</f>
        <v>GAZ:00005841</v>
      </c>
      <c r="D1759"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759" s="54" t="s">
        <v>19</v>
      </c>
      <c r="I1759" s="54" t="s">
        <v>19</v>
      </c>
      <c r="J1759" s="54" t="s">
        <v>19</v>
      </c>
      <c r="K1759" s="52" t="str">
        <f t="shared" si="75"/>
        <v>International</v>
      </c>
    </row>
    <row r="1760">
      <c r="A1760" s="53"/>
      <c r="B1760" s="53" t="str">
        <f>IFERROR(__xludf.DUMMYFUNCTION("""COMPUTED_VALUE"""),"Saint Vincent and the Grenadines [GAZ:02000565]                    ")</f>
        <v>Saint Vincent and the Grenadines [GAZ:02000565]                    </v>
      </c>
      <c r="C1760" s="53" t="str">
        <f>IFERROR(__xludf.DUMMYFUNCTION("""COMPUTED_VALUE"""),"GAZ:02000565")</f>
        <v>GAZ:02000565</v>
      </c>
      <c r="D1760" s="29" t="str">
        <f>IFERROR(__xludf.DUMMYFUNCTION("""COMPUTED_VALUE"""),"An island nation in the Lesser Antilles chain of the Caribbean Sea.")</f>
        <v>An island nation in the Lesser Antilles chain of the Caribbean Sea.</v>
      </c>
      <c r="H1760" s="54" t="s">
        <v>19</v>
      </c>
      <c r="I1760" s="54" t="s">
        <v>19</v>
      </c>
      <c r="J1760" s="54" t="s">
        <v>19</v>
      </c>
      <c r="K1760" s="52" t="str">
        <f t="shared" si="75"/>
        <v>International</v>
      </c>
    </row>
    <row r="1761">
      <c r="A1761" s="53"/>
      <c r="B1761" s="53" t="str">
        <f>IFERROR(__xludf.DUMMYFUNCTION("""COMPUTED_VALUE"""),"Samoa [GAZ:00006910]                    ")</f>
        <v>Samoa [GAZ:00006910]                    </v>
      </c>
      <c r="C1761" s="53" t="str">
        <f>IFERROR(__xludf.DUMMYFUNCTION("""COMPUTED_VALUE"""),"GAZ:00006910")</f>
        <v>GAZ:00006910</v>
      </c>
      <c r="D1761"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761" s="54" t="s">
        <v>19</v>
      </c>
      <c r="I1761" s="54" t="s">
        <v>19</v>
      </c>
      <c r="J1761" s="54" t="s">
        <v>19</v>
      </c>
      <c r="K1761" s="52" t="str">
        <f t="shared" si="75"/>
        <v>International</v>
      </c>
    </row>
    <row r="1762">
      <c r="A1762" s="53"/>
      <c r="B1762" s="53" t="str">
        <f>IFERROR(__xludf.DUMMYFUNCTION("""COMPUTED_VALUE"""),"San Marino [GAZ:00003102]                    ")</f>
        <v>San Marino [GAZ:00003102]                    </v>
      </c>
      <c r="C1762" s="53" t="str">
        <f>IFERROR(__xludf.DUMMYFUNCTION("""COMPUTED_VALUE"""),"GAZ:00003102")</f>
        <v>GAZ:00003102</v>
      </c>
      <c r="D1762"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762" s="54" t="s">
        <v>19</v>
      </c>
      <c r="I1762" s="54" t="s">
        <v>19</v>
      </c>
      <c r="J1762" s="54" t="s">
        <v>19</v>
      </c>
      <c r="K1762" s="52" t="str">
        <f t="shared" si="75"/>
        <v>International</v>
      </c>
    </row>
    <row r="1763">
      <c r="A1763" s="53"/>
      <c r="B1763" s="53" t="str">
        <f>IFERROR(__xludf.DUMMYFUNCTION("""COMPUTED_VALUE"""),"Sao Tome and Principe [GAZ:00006927]                    ")</f>
        <v>Sao Tome and Principe [GAZ:00006927]                    </v>
      </c>
      <c r="C1763" s="53" t="str">
        <f>IFERROR(__xludf.DUMMYFUNCTION("""COMPUTED_VALUE"""),"GAZ:00006927")</f>
        <v>GAZ:00006927</v>
      </c>
      <c r="D1763"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763" s="54" t="s">
        <v>19</v>
      </c>
      <c r="I1763" s="54" t="s">
        <v>19</v>
      </c>
      <c r="J1763" s="54" t="s">
        <v>19</v>
      </c>
      <c r="K1763" s="52" t="str">
        <f t="shared" si="75"/>
        <v>International</v>
      </c>
    </row>
    <row r="1764">
      <c r="A1764" s="53"/>
      <c r="B1764" s="53" t="str">
        <f>IFERROR(__xludf.DUMMYFUNCTION("""COMPUTED_VALUE"""),"Saudi Arabia [GAZ:00005279]                    ")</f>
        <v>Saudi Arabia [GAZ:00005279]                    </v>
      </c>
      <c r="C1764" s="53" t="str">
        <f>IFERROR(__xludf.DUMMYFUNCTION("""COMPUTED_VALUE"""),"GAZ:00005279")</f>
        <v>GAZ:00005279</v>
      </c>
      <c r="D1764"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764" s="54" t="s">
        <v>19</v>
      </c>
      <c r="I1764" s="54" t="s">
        <v>19</v>
      </c>
      <c r="J1764" s="54" t="s">
        <v>19</v>
      </c>
      <c r="K1764" s="52" t="str">
        <f t="shared" si="75"/>
        <v>International</v>
      </c>
    </row>
    <row r="1765">
      <c r="A1765" s="53"/>
      <c r="B1765" s="53" t="str">
        <f>IFERROR(__xludf.DUMMYFUNCTION("""COMPUTED_VALUE"""),"Senegal [GAZ:00000913]                    ")</f>
        <v>Senegal [GAZ:00000913]                    </v>
      </c>
      <c r="C1765" s="53" t="str">
        <f>IFERROR(__xludf.DUMMYFUNCTION("""COMPUTED_VALUE"""),"GAZ:00000913")</f>
        <v>GAZ:00000913</v>
      </c>
      <c r="D1765"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765" s="54" t="s">
        <v>19</v>
      </c>
      <c r="I1765" s="54" t="s">
        <v>19</v>
      </c>
      <c r="J1765" s="54" t="s">
        <v>19</v>
      </c>
      <c r="K1765" s="52" t="str">
        <f t="shared" si="75"/>
        <v>International</v>
      </c>
    </row>
    <row r="1766">
      <c r="A1766" s="53"/>
      <c r="B1766" s="53" t="str">
        <f>IFERROR(__xludf.DUMMYFUNCTION("""COMPUTED_VALUE"""),"Serbia [GAZ:00002957]                    ")</f>
        <v>Serbia [GAZ:00002957]                    </v>
      </c>
      <c r="C1766" s="53" t="str">
        <f>IFERROR(__xludf.DUMMYFUNCTION("""COMPUTED_VALUE"""),"GAZ:00002957")</f>
        <v>GAZ:00002957</v>
      </c>
      <c r="D1766"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H1766" s="54" t="s">
        <v>19</v>
      </c>
      <c r="I1766" s="54" t="s">
        <v>19</v>
      </c>
      <c r="J1766" s="54" t="s">
        <v>19</v>
      </c>
      <c r="K1766" s="52" t="str">
        <f t="shared" si="75"/>
        <v>International</v>
      </c>
    </row>
    <row r="1767">
      <c r="A1767" s="53"/>
      <c r="B1767" s="53" t="str">
        <f>IFERROR(__xludf.DUMMYFUNCTION("""COMPUTED_VALUE"""),"Seychelles [GAZ:00006922]                    ")</f>
        <v>Seychelles [GAZ:00006922]                    </v>
      </c>
      <c r="C1767" s="53" t="str">
        <f>IFERROR(__xludf.DUMMYFUNCTION("""COMPUTED_VALUE"""),"GAZ:00006922")</f>
        <v>GAZ:00006922</v>
      </c>
      <c r="D1767"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H1767" s="54" t="s">
        <v>19</v>
      </c>
      <c r="I1767" s="54" t="s">
        <v>19</v>
      </c>
      <c r="J1767" s="54" t="s">
        <v>19</v>
      </c>
      <c r="K1767" s="52" t="str">
        <f t="shared" si="75"/>
        <v>International</v>
      </c>
    </row>
    <row r="1768">
      <c r="A1768" s="53"/>
      <c r="B1768" s="53" t="str">
        <f>IFERROR(__xludf.DUMMYFUNCTION("""COMPUTED_VALUE"""),"Sierra Leone [GAZ:00000914]                    ")</f>
        <v>Sierra Leone [GAZ:00000914]                    </v>
      </c>
      <c r="C1768" s="53" t="str">
        <f>IFERROR(__xludf.DUMMYFUNCTION("""COMPUTED_VALUE"""),"GAZ:00000914")</f>
        <v>GAZ:00000914</v>
      </c>
      <c r="D1768"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H1768" s="54" t="s">
        <v>19</v>
      </c>
      <c r="I1768" s="54" t="s">
        <v>19</v>
      </c>
      <c r="J1768" s="54" t="s">
        <v>19</v>
      </c>
      <c r="K1768" s="52" t="str">
        <f t="shared" si="75"/>
        <v>International</v>
      </c>
    </row>
    <row r="1769">
      <c r="A1769" s="53"/>
      <c r="B1769" s="53" t="str">
        <f>IFERROR(__xludf.DUMMYFUNCTION("""COMPUTED_VALUE"""),"Singapore [GAZ:00003923]                    ")</f>
        <v>Singapore [GAZ:00003923]                    </v>
      </c>
      <c r="C1769" s="53" t="str">
        <f>IFERROR(__xludf.DUMMYFUNCTION("""COMPUTED_VALUE"""),"GAZ:00003923")</f>
        <v>GAZ:00003923</v>
      </c>
      <c r="D1769"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H1769" s="54" t="s">
        <v>19</v>
      </c>
      <c r="I1769" s="54" t="s">
        <v>19</v>
      </c>
      <c r="J1769" s="54" t="s">
        <v>19</v>
      </c>
      <c r="K1769" s="52" t="str">
        <f t="shared" si="75"/>
        <v>International</v>
      </c>
    </row>
    <row r="1770">
      <c r="A1770" s="53"/>
      <c r="B1770" s="53" t="str">
        <f>IFERROR(__xludf.DUMMYFUNCTION("""COMPUTED_VALUE"""),"Sint Maarten [GAZ:00012579]                    ")</f>
        <v>Sint Maarten [GAZ:00012579]                    </v>
      </c>
      <c r="C1770" s="53" t="str">
        <f>IFERROR(__xludf.DUMMYFUNCTION("""COMPUTED_VALUE"""),"GAZ:00012579")</f>
        <v>GAZ:00012579</v>
      </c>
      <c r="D1770"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H1770" s="54" t="s">
        <v>19</v>
      </c>
      <c r="I1770" s="54" t="s">
        <v>19</v>
      </c>
      <c r="J1770" s="54" t="s">
        <v>19</v>
      </c>
      <c r="K1770" s="52" t="str">
        <f t="shared" si="75"/>
        <v>International</v>
      </c>
    </row>
    <row r="1771">
      <c r="A1771" s="53"/>
      <c r="B1771" s="53" t="str">
        <f>IFERROR(__xludf.DUMMYFUNCTION("""COMPUTED_VALUE"""),"Slovakia [GAZ:00002956]                    ")</f>
        <v>Slovakia [GAZ:00002956]                    </v>
      </c>
      <c r="C1771" s="53" t="str">
        <f>IFERROR(__xludf.DUMMYFUNCTION("""COMPUTED_VALUE"""),"GAZ:00002956")</f>
        <v>GAZ:00002956</v>
      </c>
      <c r="D1771"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H1771" s="54" t="s">
        <v>19</v>
      </c>
      <c r="I1771" s="54" t="s">
        <v>19</v>
      </c>
      <c r="J1771" s="54" t="s">
        <v>19</v>
      </c>
      <c r="K1771" s="52" t="str">
        <f t="shared" si="75"/>
        <v>International</v>
      </c>
    </row>
    <row r="1772">
      <c r="A1772" s="53"/>
      <c r="B1772" s="53" t="str">
        <f>IFERROR(__xludf.DUMMYFUNCTION("""COMPUTED_VALUE"""),"Slovenia [GAZ:00002955]                    ")</f>
        <v>Slovenia [GAZ:00002955]                    </v>
      </c>
      <c r="C1772" s="53" t="str">
        <f>IFERROR(__xludf.DUMMYFUNCTION("""COMPUTED_VALUE"""),"GAZ:00002955")</f>
        <v>GAZ:00002955</v>
      </c>
      <c r="D1772"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H1772" s="54" t="s">
        <v>19</v>
      </c>
      <c r="I1772" s="54" t="s">
        <v>19</v>
      </c>
      <c r="J1772" s="54" t="s">
        <v>19</v>
      </c>
      <c r="K1772" s="52" t="str">
        <f t="shared" si="75"/>
        <v>International</v>
      </c>
    </row>
    <row r="1773">
      <c r="A1773" s="53"/>
      <c r="B1773" s="53" t="str">
        <f>IFERROR(__xludf.DUMMYFUNCTION("""COMPUTED_VALUE"""),"Solomon Islands [GAZ:00005275]                    ")</f>
        <v>Solomon Islands [GAZ:00005275]                    </v>
      </c>
      <c r="C1773" s="53" t="str">
        <f>IFERROR(__xludf.DUMMYFUNCTION("""COMPUTED_VALUE"""),"GAZ:00005275")</f>
        <v>GAZ:00005275</v>
      </c>
      <c r="D1773"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H1773" s="54" t="s">
        <v>19</v>
      </c>
      <c r="I1773" s="54" t="s">
        <v>19</v>
      </c>
      <c r="J1773" s="54" t="s">
        <v>19</v>
      </c>
      <c r="K1773" s="52" t="str">
        <f t="shared" si="75"/>
        <v>International</v>
      </c>
    </row>
    <row r="1774">
      <c r="A1774" s="53"/>
      <c r="B1774" s="53" t="str">
        <f>IFERROR(__xludf.DUMMYFUNCTION("""COMPUTED_VALUE"""),"Somalia [GAZ:00001104]                    ")</f>
        <v>Somalia [GAZ:00001104]                    </v>
      </c>
      <c r="C1774" s="53" t="str">
        <f>IFERROR(__xludf.DUMMYFUNCTION("""COMPUTED_VALUE"""),"GAZ:00001104")</f>
        <v>GAZ:00001104</v>
      </c>
      <c r="D1774"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H1774" s="54" t="s">
        <v>19</v>
      </c>
      <c r="I1774" s="54" t="s">
        <v>19</v>
      </c>
      <c r="J1774" s="54" t="s">
        <v>19</v>
      </c>
      <c r="K1774" s="52" t="str">
        <f t="shared" si="75"/>
        <v>International</v>
      </c>
    </row>
    <row r="1775">
      <c r="A1775" s="53"/>
      <c r="B1775" s="53" t="str">
        <f>IFERROR(__xludf.DUMMYFUNCTION("""COMPUTED_VALUE"""),"South Africa [GAZ:00001094]                    ")</f>
        <v>South Africa [GAZ:00001094]                    </v>
      </c>
      <c r="C1775" s="53" t="str">
        <f>IFERROR(__xludf.DUMMYFUNCTION("""COMPUTED_VALUE"""),"GAZ:00001094")</f>
        <v>GAZ:00001094</v>
      </c>
      <c r="D1775"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H1775" s="54" t="s">
        <v>19</v>
      </c>
      <c r="I1775" s="54" t="s">
        <v>19</v>
      </c>
      <c r="J1775" s="54" t="s">
        <v>19</v>
      </c>
      <c r="K1775" s="52" t="str">
        <f t="shared" si="75"/>
        <v>International</v>
      </c>
    </row>
    <row r="1776">
      <c r="A1776" s="53"/>
      <c r="B1776" s="53" t="str">
        <f>IFERROR(__xludf.DUMMYFUNCTION("""COMPUTED_VALUE"""),"South Georgia and the South Sandwich Islands [GAZ:00003990]                    ")</f>
        <v>South Georgia and the South Sandwich Islands [GAZ:00003990]                    </v>
      </c>
      <c r="C1776" s="53" t="str">
        <f>IFERROR(__xludf.DUMMYFUNCTION("""COMPUTED_VALUE"""),"GAZ:00003990")</f>
        <v>GAZ:00003990</v>
      </c>
      <c r="D1776"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H1776" s="54" t="s">
        <v>19</v>
      </c>
      <c r="I1776" s="54" t="s">
        <v>19</v>
      </c>
      <c r="J1776" s="54" t="s">
        <v>19</v>
      </c>
      <c r="K1776" s="52" t="str">
        <f t="shared" si="75"/>
        <v>International</v>
      </c>
    </row>
    <row r="1777">
      <c r="A1777" s="53"/>
      <c r="B1777" s="53" t="str">
        <f>IFERROR(__xludf.DUMMYFUNCTION("""COMPUTED_VALUE"""),"South Korea [GAZ:00002802]                    ")</f>
        <v>South Korea [GAZ:00002802]                    </v>
      </c>
      <c r="C1777" s="53" t="str">
        <f>IFERROR(__xludf.DUMMYFUNCTION("""COMPUTED_VALUE"""),"GAZ:00002802")</f>
        <v>GAZ:00002802</v>
      </c>
      <c r="D1777"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H1777" s="54" t="s">
        <v>19</v>
      </c>
      <c r="I1777" s="54" t="s">
        <v>19</v>
      </c>
      <c r="J1777" s="54" t="s">
        <v>19</v>
      </c>
      <c r="K1777" s="52" t="str">
        <f t="shared" si="75"/>
        <v>International</v>
      </c>
    </row>
    <row r="1778">
      <c r="A1778" s="53"/>
      <c r="B1778" s="53" t="str">
        <f>IFERROR(__xludf.DUMMYFUNCTION("""COMPUTED_VALUE"""),"South Sudan [GAZ:00233439]                    ")</f>
        <v>South Sudan [GAZ:00233439]                    </v>
      </c>
      <c r="C1778" s="53" t="str">
        <f>IFERROR(__xludf.DUMMYFUNCTION("""COMPUTED_VALUE"""),"GAZ:00233439")</f>
        <v>GAZ:00233439</v>
      </c>
      <c r="D1778"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H1778" s="54" t="s">
        <v>19</v>
      </c>
      <c r="I1778" s="54" t="s">
        <v>19</v>
      </c>
      <c r="J1778" s="54" t="s">
        <v>19</v>
      </c>
      <c r="K1778" s="52" t="str">
        <f t="shared" si="75"/>
        <v>International</v>
      </c>
    </row>
    <row r="1779">
      <c r="A1779" s="53"/>
      <c r="B1779" s="53" t="str">
        <f>IFERROR(__xludf.DUMMYFUNCTION("""COMPUTED_VALUE"""),"Spain [GAZ:00003936]                    ")</f>
        <v>Spain [GAZ:00003936]                    </v>
      </c>
      <c r="C1779" s="53" t="str">
        <f>IFERROR(__xludf.DUMMYFUNCTION("""COMPUTED_VALUE"""),"GAZ:00003936")</f>
        <v>GAZ:00003936</v>
      </c>
      <c r="D1779"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H1779" s="54" t="s">
        <v>19</v>
      </c>
      <c r="I1779" s="54" t="s">
        <v>19</v>
      </c>
      <c r="J1779" s="54" t="s">
        <v>19</v>
      </c>
      <c r="K1779" s="52" t="str">
        <f t="shared" si="75"/>
        <v>International</v>
      </c>
    </row>
    <row r="1780">
      <c r="A1780" s="53"/>
      <c r="B1780" s="53" t="str">
        <f>IFERROR(__xludf.DUMMYFUNCTION("""COMPUTED_VALUE"""),"Spratly Islands [GAZ:00010831]                    ")</f>
        <v>Spratly Islands [GAZ:00010831]                    </v>
      </c>
      <c r="C1780" s="53" t="str">
        <f>IFERROR(__xludf.DUMMYFUNCTION("""COMPUTED_VALUE"""),"GAZ:00010831")</f>
        <v>GAZ:00010831</v>
      </c>
      <c r="D1780"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H1780" s="54" t="s">
        <v>19</v>
      </c>
      <c r="I1780" s="54" t="s">
        <v>19</v>
      </c>
      <c r="J1780" s="54" t="s">
        <v>19</v>
      </c>
      <c r="K1780" s="52" t="str">
        <f t="shared" si="75"/>
        <v>International</v>
      </c>
    </row>
    <row r="1781">
      <c r="A1781" s="53"/>
      <c r="B1781" s="53" t="str">
        <f>IFERROR(__xludf.DUMMYFUNCTION("""COMPUTED_VALUE"""),"Sri Lanka [GAZ:00003924]                    ")</f>
        <v>Sri Lanka [GAZ:00003924]                    </v>
      </c>
      <c r="C1781" s="53" t="str">
        <f>IFERROR(__xludf.DUMMYFUNCTION("""COMPUTED_VALUE"""),"GAZ:00003924")</f>
        <v>GAZ:00003924</v>
      </c>
      <c r="D1781"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H1781" s="54" t="s">
        <v>19</v>
      </c>
      <c r="I1781" s="54" t="s">
        <v>19</v>
      </c>
      <c r="J1781" s="54" t="s">
        <v>19</v>
      </c>
      <c r="K1781" s="52" t="str">
        <f t="shared" si="75"/>
        <v>International</v>
      </c>
    </row>
    <row r="1782">
      <c r="A1782" s="53"/>
      <c r="B1782" s="53" t="str">
        <f>IFERROR(__xludf.DUMMYFUNCTION("""COMPUTED_VALUE"""),"State of Palestine [GAZ:00002475]                    ")</f>
        <v>State of Palestine [GAZ:00002475]                    </v>
      </c>
      <c r="C1782" s="53" t="str">
        <f>IFERROR(__xludf.DUMMYFUNCTION("""COMPUTED_VALUE"""),"GAZ:00002475")</f>
        <v>GAZ:00002475</v>
      </c>
      <c r="D1782"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H1782" s="54" t="s">
        <v>19</v>
      </c>
      <c r="I1782" s="54" t="s">
        <v>19</v>
      </c>
      <c r="J1782" s="54" t="s">
        <v>19</v>
      </c>
      <c r="K1782" s="52" t="str">
        <f t="shared" si="75"/>
        <v>International</v>
      </c>
    </row>
    <row r="1783">
      <c r="A1783" s="53"/>
      <c r="B1783" s="53" t="str">
        <f>IFERROR(__xludf.DUMMYFUNCTION("""COMPUTED_VALUE"""),"Sudan [GAZ:00000560]                    ")</f>
        <v>Sudan [GAZ:00000560]                    </v>
      </c>
      <c r="C1783" s="53" t="str">
        <f>IFERROR(__xludf.DUMMYFUNCTION("""COMPUTED_VALUE"""),"GAZ:00000560")</f>
        <v>GAZ:00000560</v>
      </c>
      <c r="D1783"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H1783" s="54" t="s">
        <v>19</v>
      </c>
      <c r="I1783" s="54" t="s">
        <v>19</v>
      </c>
      <c r="J1783" s="54" t="s">
        <v>19</v>
      </c>
      <c r="K1783" s="52" t="str">
        <f t="shared" si="75"/>
        <v>International</v>
      </c>
    </row>
    <row r="1784">
      <c r="A1784" s="53"/>
      <c r="B1784" s="53" t="str">
        <f>IFERROR(__xludf.DUMMYFUNCTION("""COMPUTED_VALUE"""),"Suriname [GAZ:00002525]                    ")</f>
        <v>Suriname [GAZ:00002525]                    </v>
      </c>
      <c r="C1784" s="53" t="str">
        <f>IFERROR(__xludf.DUMMYFUNCTION("""COMPUTED_VALUE"""),"GAZ:00002525")</f>
        <v>GAZ:00002525</v>
      </c>
      <c r="D1784"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H1784" s="54" t="s">
        <v>19</v>
      </c>
      <c r="I1784" s="54" t="s">
        <v>19</v>
      </c>
      <c r="J1784" s="54" t="s">
        <v>19</v>
      </c>
      <c r="K1784" s="52" t="str">
        <f t="shared" si="75"/>
        <v>International</v>
      </c>
    </row>
    <row r="1785">
      <c r="A1785" s="53"/>
      <c r="B1785" s="53" t="str">
        <f>IFERROR(__xludf.DUMMYFUNCTION("""COMPUTED_VALUE"""),"Svalbard [GAZ:00005396]                    ")</f>
        <v>Svalbard [GAZ:00005396]                    </v>
      </c>
      <c r="C1785" s="53" t="str">
        <f>IFERROR(__xludf.DUMMYFUNCTION("""COMPUTED_VALUE"""),"GAZ:00005396")</f>
        <v>GAZ:00005396</v>
      </c>
      <c r="D1785"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H1785" s="54" t="s">
        <v>19</v>
      </c>
      <c r="I1785" s="54" t="s">
        <v>19</v>
      </c>
      <c r="J1785" s="54" t="s">
        <v>19</v>
      </c>
      <c r="K1785" s="52" t="str">
        <f t="shared" si="75"/>
        <v>International</v>
      </c>
    </row>
    <row r="1786">
      <c r="A1786" s="53"/>
      <c r="B1786" s="53" t="str">
        <f>IFERROR(__xludf.DUMMYFUNCTION("""COMPUTED_VALUE"""),"Swaziland [GAZ:00001099]                    ")</f>
        <v>Swaziland [GAZ:00001099]                    </v>
      </c>
      <c r="C1786" s="53" t="str">
        <f>IFERROR(__xludf.DUMMYFUNCTION("""COMPUTED_VALUE"""),"GAZ:00001099")</f>
        <v>GAZ:00001099</v>
      </c>
      <c r="D1786"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786" s="54" t="s">
        <v>19</v>
      </c>
      <c r="I1786" s="54" t="s">
        <v>19</v>
      </c>
      <c r="J1786" s="54" t="s">
        <v>19</v>
      </c>
      <c r="K1786" s="52" t="str">
        <f t="shared" si="75"/>
        <v>International</v>
      </c>
    </row>
    <row r="1787">
      <c r="A1787" s="53"/>
      <c r="B1787" s="53" t="str">
        <f>IFERROR(__xludf.DUMMYFUNCTION("""COMPUTED_VALUE"""),"Sweden [GAZ:00002729]                    ")</f>
        <v>Sweden [GAZ:00002729]                    </v>
      </c>
      <c r="C1787" s="53" t="str">
        <f>IFERROR(__xludf.DUMMYFUNCTION("""COMPUTED_VALUE"""),"GAZ:00002729")</f>
        <v>GAZ:00002729</v>
      </c>
      <c r="D1787"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H1787" s="54" t="s">
        <v>19</v>
      </c>
      <c r="I1787" s="54" t="s">
        <v>19</v>
      </c>
      <c r="J1787" s="54" t="s">
        <v>19</v>
      </c>
      <c r="K1787" s="52" t="str">
        <f t="shared" si="75"/>
        <v>International</v>
      </c>
    </row>
    <row r="1788">
      <c r="A1788" s="53"/>
      <c r="B1788" s="53" t="str">
        <f>IFERROR(__xludf.DUMMYFUNCTION("""COMPUTED_VALUE"""),"Switzerland [GAZ:00002941]                    ")</f>
        <v>Switzerland [GAZ:00002941]                    </v>
      </c>
      <c r="C1788" s="53" t="str">
        <f>IFERROR(__xludf.DUMMYFUNCTION("""COMPUTED_VALUE"""),"GAZ:00002941")</f>
        <v>GAZ:00002941</v>
      </c>
      <c r="D1788"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H1788" s="54" t="s">
        <v>19</v>
      </c>
      <c r="I1788" s="54" t="s">
        <v>19</v>
      </c>
      <c r="J1788" s="54" t="s">
        <v>19</v>
      </c>
      <c r="K1788" s="52" t="str">
        <f t="shared" si="75"/>
        <v>International</v>
      </c>
    </row>
    <row r="1789">
      <c r="A1789" s="53"/>
      <c r="B1789" s="53" t="str">
        <f>IFERROR(__xludf.DUMMYFUNCTION("""COMPUTED_VALUE"""),"Syria [GAZ:00002474]                    ")</f>
        <v>Syria [GAZ:00002474]                    </v>
      </c>
      <c r="C1789" s="53" t="str">
        <f>IFERROR(__xludf.DUMMYFUNCTION("""COMPUTED_VALUE"""),"GAZ:00002474")</f>
        <v>GAZ:00002474</v>
      </c>
      <c r="D1789"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H1789" s="54" t="s">
        <v>19</v>
      </c>
      <c r="I1789" s="54" t="s">
        <v>19</v>
      </c>
      <c r="J1789" s="54" t="s">
        <v>19</v>
      </c>
      <c r="K1789" s="52" t="str">
        <f t="shared" si="75"/>
        <v>International</v>
      </c>
    </row>
    <row r="1790">
      <c r="A1790" s="53"/>
      <c r="B1790" s="53" t="str">
        <f>IFERROR(__xludf.DUMMYFUNCTION("""COMPUTED_VALUE"""),"Taiwan [GAZ:00005341]                    ")</f>
        <v>Taiwan [GAZ:00005341]                    </v>
      </c>
      <c r="C1790" s="53" t="str">
        <f>IFERROR(__xludf.DUMMYFUNCTION("""COMPUTED_VALUE"""),"GAZ:00005341")</f>
        <v>GAZ:00005341</v>
      </c>
      <c r="D1790"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H1790" s="54" t="s">
        <v>19</v>
      </c>
      <c r="I1790" s="54" t="s">
        <v>19</v>
      </c>
      <c r="J1790" s="54" t="s">
        <v>19</v>
      </c>
      <c r="K1790" s="52" t="str">
        <f t="shared" si="75"/>
        <v>International</v>
      </c>
    </row>
    <row r="1791">
      <c r="A1791" s="53"/>
      <c r="B1791" s="53" t="str">
        <f>IFERROR(__xludf.DUMMYFUNCTION("""COMPUTED_VALUE"""),"Tajikistan [GAZ:00006912]                    ")</f>
        <v>Tajikistan [GAZ:00006912]                    </v>
      </c>
      <c r="C1791" s="53" t="str">
        <f>IFERROR(__xludf.DUMMYFUNCTION("""COMPUTED_VALUE"""),"GAZ:00006912")</f>
        <v>GAZ:00006912</v>
      </c>
      <c r="D1791"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H1791" s="54" t="s">
        <v>19</v>
      </c>
      <c r="I1791" s="54" t="s">
        <v>19</v>
      </c>
      <c r="J1791" s="54" t="s">
        <v>19</v>
      </c>
      <c r="K1791" s="52" t="str">
        <f t="shared" si="75"/>
        <v>International</v>
      </c>
    </row>
    <row r="1792">
      <c r="A1792" s="53"/>
      <c r="B1792" s="53" t="str">
        <f>IFERROR(__xludf.DUMMYFUNCTION("""COMPUTED_VALUE"""),"Tanzania [GAZ:00001103]                    ")</f>
        <v>Tanzania [GAZ:00001103]                    </v>
      </c>
      <c r="C1792" s="53" t="str">
        <f>IFERROR(__xludf.DUMMYFUNCTION("""COMPUTED_VALUE"""),"GAZ:00001103")</f>
        <v>GAZ:00001103</v>
      </c>
      <c r="D1792"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H1792" s="54" t="s">
        <v>19</v>
      </c>
      <c r="I1792" s="54" t="s">
        <v>19</v>
      </c>
      <c r="J1792" s="54" t="s">
        <v>19</v>
      </c>
      <c r="K1792" s="52" t="str">
        <f t="shared" si="75"/>
        <v>International</v>
      </c>
    </row>
    <row r="1793">
      <c r="A1793" s="53"/>
      <c r="B1793" s="53" t="str">
        <f>IFERROR(__xludf.DUMMYFUNCTION("""COMPUTED_VALUE"""),"Thailand [GAZ:00003744]                    ")</f>
        <v>Thailand [GAZ:00003744]                    </v>
      </c>
      <c r="C1793" s="53" t="str">
        <f>IFERROR(__xludf.DUMMYFUNCTION("""COMPUTED_VALUE"""),"GAZ:00003744")</f>
        <v>GAZ:00003744</v>
      </c>
      <c r="D1793"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H1793" s="54" t="s">
        <v>19</v>
      </c>
      <c r="I1793" s="54" t="s">
        <v>19</v>
      </c>
      <c r="J1793" s="54" t="s">
        <v>19</v>
      </c>
      <c r="K1793" s="52" t="str">
        <f t="shared" si="75"/>
        <v>International</v>
      </c>
    </row>
    <row r="1794">
      <c r="A1794" s="53"/>
      <c r="B1794" s="53" t="str">
        <f>IFERROR(__xludf.DUMMYFUNCTION("""COMPUTED_VALUE"""),"Timor-Leste [GAZ:00006913]                    ")</f>
        <v>Timor-Leste [GAZ:00006913]                    </v>
      </c>
      <c r="C1794" s="53" t="str">
        <f>IFERROR(__xludf.DUMMYFUNCTION("""COMPUTED_VALUE"""),"GAZ:00006913")</f>
        <v>GAZ:00006913</v>
      </c>
      <c r="D1794"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H1794" s="54" t="s">
        <v>19</v>
      </c>
      <c r="I1794" s="54" t="s">
        <v>19</v>
      </c>
      <c r="J1794" s="54" t="s">
        <v>19</v>
      </c>
      <c r="K1794" s="52" t="str">
        <f t="shared" si="75"/>
        <v>International</v>
      </c>
    </row>
    <row r="1795">
      <c r="A1795" s="53"/>
      <c r="B1795" s="53" t="str">
        <f>IFERROR(__xludf.DUMMYFUNCTION("""COMPUTED_VALUE"""),"Togo [GAZ:00000915]                    ")</f>
        <v>Togo [GAZ:00000915]                    </v>
      </c>
      <c r="C1795" s="53" t="str">
        <f>IFERROR(__xludf.DUMMYFUNCTION("""COMPUTED_VALUE"""),"GAZ:00000915")</f>
        <v>GAZ:00000915</v>
      </c>
      <c r="D1795"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H1795" s="54" t="s">
        <v>19</v>
      </c>
      <c r="I1795" s="54" t="s">
        <v>19</v>
      </c>
      <c r="J1795" s="54" t="s">
        <v>19</v>
      </c>
      <c r="K1795" s="52" t="str">
        <f t="shared" si="75"/>
        <v>International</v>
      </c>
    </row>
    <row r="1796">
      <c r="A1796" s="53"/>
      <c r="B1796" s="53" t="str">
        <f>IFERROR(__xludf.DUMMYFUNCTION("""COMPUTED_VALUE"""),"Tokelau [GAZ:00260188]                    ")</f>
        <v>Tokelau [GAZ:00260188]                    </v>
      </c>
      <c r="C1796" s="53" t="str">
        <f>IFERROR(__xludf.DUMMYFUNCTION("""COMPUTED_VALUE"""),"GAZ:00260188")</f>
        <v>GAZ:00260188</v>
      </c>
      <c r="D1796"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H1796" s="54" t="s">
        <v>19</v>
      </c>
      <c r="I1796" s="54" t="s">
        <v>19</v>
      </c>
      <c r="J1796" s="54" t="s">
        <v>19</v>
      </c>
      <c r="K1796" s="52" t="str">
        <f t="shared" si="75"/>
        <v>International</v>
      </c>
    </row>
    <row r="1797">
      <c r="A1797" s="53"/>
      <c r="B1797" s="53" t="str">
        <f>IFERROR(__xludf.DUMMYFUNCTION("""COMPUTED_VALUE"""),"Tonga [GAZ:00006916]                    ")</f>
        <v>Tonga [GAZ:00006916]                    </v>
      </c>
      <c r="C1797" s="53" t="str">
        <f>IFERROR(__xludf.DUMMYFUNCTION("""COMPUTED_VALUE"""),"GAZ:00006916")</f>
        <v>GAZ:00006916</v>
      </c>
      <c r="D1797"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H1797" s="54" t="s">
        <v>19</v>
      </c>
      <c r="I1797" s="54" t="s">
        <v>19</v>
      </c>
      <c r="J1797" s="54" t="s">
        <v>19</v>
      </c>
      <c r="K1797" s="52" t="str">
        <f t="shared" si="75"/>
        <v>International</v>
      </c>
    </row>
    <row r="1798">
      <c r="A1798" s="53"/>
      <c r="B1798" s="53" t="str">
        <f>IFERROR(__xludf.DUMMYFUNCTION("""COMPUTED_VALUE"""),"Trinidad and Tobago [GAZ:00003767]                    ")</f>
        <v>Trinidad and Tobago [GAZ:00003767]                    </v>
      </c>
      <c r="C1798" s="53" t="str">
        <f>IFERROR(__xludf.DUMMYFUNCTION("""COMPUTED_VALUE"""),"GAZ:00003767")</f>
        <v>GAZ:00003767</v>
      </c>
      <c r="D1798"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H1798" s="54" t="s">
        <v>19</v>
      </c>
      <c r="I1798" s="54" t="s">
        <v>19</v>
      </c>
      <c r="J1798" s="54" t="s">
        <v>19</v>
      </c>
      <c r="K1798" s="52" t="str">
        <f t="shared" si="75"/>
        <v>International</v>
      </c>
    </row>
    <row r="1799">
      <c r="A1799" s="53"/>
      <c r="B1799" s="53" t="str">
        <f>IFERROR(__xludf.DUMMYFUNCTION("""COMPUTED_VALUE"""),"Tromelin Island [GAZ:00005812]                    ")</f>
        <v>Tromelin Island [GAZ:00005812]                    </v>
      </c>
      <c r="C1799" s="53" t="str">
        <f>IFERROR(__xludf.DUMMYFUNCTION("""COMPUTED_VALUE"""),"GAZ:00005812")</f>
        <v>GAZ:00005812</v>
      </c>
      <c r="D1799"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H1799" s="54" t="s">
        <v>19</v>
      </c>
      <c r="I1799" s="54" t="s">
        <v>19</v>
      </c>
      <c r="J1799" s="54" t="s">
        <v>19</v>
      </c>
      <c r="K1799" s="52" t="str">
        <f t="shared" si="75"/>
        <v>International</v>
      </c>
    </row>
    <row r="1800">
      <c r="A1800" s="53"/>
      <c r="B1800" s="53" t="str">
        <f>IFERROR(__xludf.DUMMYFUNCTION("""COMPUTED_VALUE"""),"Tunisia [GAZ:00000562]                    ")</f>
        <v>Tunisia [GAZ:00000562]                    </v>
      </c>
      <c r="C1800" s="53" t="str">
        <f>IFERROR(__xludf.DUMMYFUNCTION("""COMPUTED_VALUE"""),"GAZ:00000562")</f>
        <v>GAZ:00000562</v>
      </c>
      <c r="D1800"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H1800" s="54" t="s">
        <v>19</v>
      </c>
      <c r="I1800" s="54" t="s">
        <v>19</v>
      </c>
      <c r="J1800" s="54" t="s">
        <v>19</v>
      </c>
      <c r="K1800" s="52" t="str">
        <f t="shared" si="75"/>
        <v>International</v>
      </c>
    </row>
    <row r="1801">
      <c r="A1801" s="53"/>
      <c r="B1801" s="53" t="str">
        <f>IFERROR(__xludf.DUMMYFUNCTION("""COMPUTED_VALUE"""),"Turkey [GAZ:00000558]                    ")</f>
        <v>Turkey [GAZ:00000558]                    </v>
      </c>
      <c r="C1801" s="53" t="str">
        <f>IFERROR(__xludf.DUMMYFUNCTION("""COMPUTED_VALUE"""),"GAZ:00000558")</f>
        <v>GAZ:00000558</v>
      </c>
      <c r="D1801"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H1801" s="54" t="s">
        <v>19</v>
      </c>
      <c r="I1801" s="54" t="s">
        <v>19</v>
      </c>
      <c r="J1801" s="54" t="s">
        <v>19</v>
      </c>
      <c r="K1801" s="52" t="str">
        <f t="shared" si="75"/>
        <v>International</v>
      </c>
    </row>
    <row r="1802">
      <c r="A1802" s="53"/>
      <c r="B1802" s="53" t="str">
        <f>IFERROR(__xludf.DUMMYFUNCTION("""COMPUTED_VALUE"""),"Turkmenistan [GAZ:00005018]                    ")</f>
        <v>Turkmenistan [GAZ:00005018]                    </v>
      </c>
      <c r="C1802" s="53" t="str">
        <f>IFERROR(__xludf.DUMMYFUNCTION("""COMPUTED_VALUE"""),"GAZ:00005018")</f>
        <v>GAZ:00005018</v>
      </c>
      <c r="D1802"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H1802" s="54" t="s">
        <v>19</v>
      </c>
      <c r="I1802" s="54" t="s">
        <v>19</v>
      </c>
      <c r="J1802" s="54" t="s">
        <v>19</v>
      </c>
      <c r="K1802" s="52" t="str">
        <f t="shared" si="75"/>
        <v>International</v>
      </c>
    </row>
    <row r="1803">
      <c r="A1803" s="53"/>
      <c r="B1803" s="53" t="str">
        <f>IFERROR(__xludf.DUMMYFUNCTION("""COMPUTED_VALUE"""),"Turks and Caicos Islands [GAZ:00003955]                    ")</f>
        <v>Turks and Caicos Islands [GAZ:00003955]                    </v>
      </c>
      <c r="C1803" s="53" t="str">
        <f>IFERROR(__xludf.DUMMYFUNCTION("""COMPUTED_VALUE"""),"GAZ:00003955")</f>
        <v>GAZ:00003955</v>
      </c>
      <c r="D1803"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H1803" s="54" t="s">
        <v>19</v>
      </c>
      <c r="I1803" s="54" t="s">
        <v>19</v>
      </c>
      <c r="J1803" s="54" t="s">
        <v>19</v>
      </c>
      <c r="K1803" s="52" t="str">
        <f t="shared" si="75"/>
        <v>International</v>
      </c>
    </row>
    <row r="1804">
      <c r="A1804" s="53"/>
      <c r="B1804" s="53" t="str">
        <f>IFERROR(__xludf.DUMMYFUNCTION("""COMPUTED_VALUE"""),"Tuvalu [GAZ:00009715]                    ")</f>
        <v>Tuvalu [GAZ:00009715]                    </v>
      </c>
      <c r="C1804" s="53" t="str">
        <f>IFERROR(__xludf.DUMMYFUNCTION("""COMPUTED_VALUE"""),"GAZ:00009715")</f>
        <v>GAZ:00009715</v>
      </c>
      <c r="D1804" s="29" t="str">
        <f>IFERROR(__xludf.DUMMYFUNCTION("""COMPUTED_VALUE"""),"A Polynesian island nation located in the Pacific Ocean midway between Hawaii and Australia.")</f>
        <v>A Polynesian island nation located in the Pacific Ocean midway between Hawaii and Australia.</v>
      </c>
      <c r="H1804" s="54" t="s">
        <v>19</v>
      </c>
      <c r="I1804" s="54" t="s">
        <v>19</v>
      </c>
      <c r="J1804" s="54" t="s">
        <v>19</v>
      </c>
      <c r="K1804" s="52" t="str">
        <f t="shared" si="75"/>
        <v>International</v>
      </c>
    </row>
    <row r="1805">
      <c r="A1805" s="53"/>
      <c r="B1805" s="53" t="str">
        <f>IFERROR(__xludf.DUMMYFUNCTION("""COMPUTED_VALUE"""),"United States of America [GAZ:00002459]                    ")</f>
        <v>United States of America [GAZ:00002459]                    </v>
      </c>
      <c r="C1805" s="53" t="str">
        <f>IFERROR(__xludf.DUMMYFUNCTION("""COMPUTED_VALUE"""),"GAZ:00002459")</f>
        <v>GAZ:00002459</v>
      </c>
      <c r="D1805"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H1805" s="54" t="s">
        <v>19</v>
      </c>
      <c r="I1805" s="54" t="s">
        <v>19</v>
      </c>
      <c r="J1805" s="54" t="s">
        <v>19</v>
      </c>
      <c r="K1805" s="52" t="str">
        <f t="shared" si="75"/>
        <v>International</v>
      </c>
    </row>
    <row r="1806">
      <c r="A1806" s="53"/>
      <c r="B1806" s="53" t="str">
        <f>IFERROR(__xludf.DUMMYFUNCTION("""COMPUTED_VALUE"""),"Uganda [GAZ:00001102]                    ")</f>
        <v>Uganda [GAZ:00001102]                    </v>
      </c>
      <c r="C1806" s="53" t="str">
        <f>IFERROR(__xludf.DUMMYFUNCTION("""COMPUTED_VALUE"""),"GAZ:00001102")</f>
        <v>GAZ:00001102</v>
      </c>
      <c r="D1806"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H1806" s="54" t="s">
        <v>19</v>
      </c>
      <c r="I1806" s="54" t="s">
        <v>19</v>
      </c>
      <c r="J1806" s="54" t="s">
        <v>19</v>
      </c>
      <c r="K1806" s="52" t="str">
        <f t="shared" si="75"/>
        <v>International</v>
      </c>
    </row>
    <row r="1807">
      <c r="A1807" s="53"/>
      <c r="B1807" s="53" t="str">
        <f>IFERROR(__xludf.DUMMYFUNCTION("""COMPUTED_VALUE"""),"Ukraine [GAZ:00002724]                    ")</f>
        <v>Ukraine [GAZ:00002724]                    </v>
      </c>
      <c r="C1807" s="53" t="str">
        <f>IFERROR(__xludf.DUMMYFUNCTION("""COMPUTED_VALUE"""),"GAZ:00002724")</f>
        <v>GAZ:00002724</v>
      </c>
      <c r="D1807"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H1807" s="54" t="s">
        <v>19</v>
      </c>
      <c r="I1807" s="54" t="s">
        <v>19</v>
      </c>
      <c r="J1807" s="54" t="s">
        <v>19</v>
      </c>
      <c r="K1807" s="52" t="str">
        <f t="shared" si="75"/>
        <v>International</v>
      </c>
    </row>
    <row r="1808">
      <c r="A1808" s="53"/>
      <c r="B1808" s="53" t="str">
        <f>IFERROR(__xludf.DUMMYFUNCTION("""COMPUTED_VALUE"""),"United Arab Emirates [GAZ:00005282]                    ")</f>
        <v>United Arab Emirates [GAZ:00005282]                    </v>
      </c>
      <c r="C1808" s="53" t="str">
        <f>IFERROR(__xludf.DUMMYFUNCTION("""COMPUTED_VALUE"""),"GAZ:00005282")</f>
        <v>GAZ:00005282</v>
      </c>
      <c r="D1808"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H1808" s="54" t="s">
        <v>19</v>
      </c>
      <c r="I1808" s="54" t="s">
        <v>19</v>
      </c>
      <c r="J1808" s="54" t="s">
        <v>19</v>
      </c>
      <c r="K1808" s="52" t="str">
        <f t="shared" si="75"/>
        <v>International</v>
      </c>
    </row>
    <row r="1809">
      <c r="A1809" s="53"/>
      <c r="B1809" s="53" t="str">
        <f>IFERROR(__xludf.DUMMYFUNCTION("""COMPUTED_VALUE"""),"United Kingdom [GAZ:00002637]                    ")</f>
        <v>United Kingdom [GAZ:00002637]                    </v>
      </c>
      <c r="C1809" s="53" t="str">
        <f>IFERROR(__xludf.DUMMYFUNCTION("""COMPUTED_VALUE"""),"GAZ:00002637")</f>
        <v>GAZ:00002637</v>
      </c>
      <c r="D1809"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H1809" s="54" t="s">
        <v>19</v>
      </c>
      <c r="I1809" s="54" t="s">
        <v>19</v>
      </c>
      <c r="J1809" s="54" t="s">
        <v>19</v>
      </c>
      <c r="K1809" s="52" t="str">
        <f t="shared" si="75"/>
        <v>International</v>
      </c>
    </row>
    <row r="1810">
      <c r="A1810" s="53"/>
      <c r="B1810" s="53" t="str">
        <f>IFERROR(__xludf.DUMMYFUNCTION("""COMPUTED_VALUE"""),"Uruguay [GAZ:00002930]                    ")</f>
        <v>Uruguay [GAZ:00002930]                    </v>
      </c>
      <c r="C1810" s="53" t="str">
        <f>IFERROR(__xludf.DUMMYFUNCTION("""COMPUTED_VALUE"""),"GAZ:00002930")</f>
        <v>GAZ:00002930</v>
      </c>
      <c r="D1810"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H1810" s="54" t="s">
        <v>19</v>
      </c>
      <c r="I1810" s="54" t="s">
        <v>19</v>
      </c>
      <c r="J1810" s="54" t="s">
        <v>19</v>
      </c>
      <c r="K1810" s="52" t="str">
        <f t="shared" si="75"/>
        <v>International</v>
      </c>
    </row>
    <row r="1811">
      <c r="A1811" s="53"/>
      <c r="B1811" s="53" t="str">
        <f>IFERROR(__xludf.DUMMYFUNCTION("""COMPUTED_VALUE"""),"Uzbekistan [GAZ:00004979]                    ")</f>
        <v>Uzbekistan [GAZ:00004979]                    </v>
      </c>
      <c r="C1811" s="53" t="str">
        <f>IFERROR(__xludf.DUMMYFUNCTION("""COMPUTED_VALUE"""),"GAZ:00004979")</f>
        <v>GAZ:00004979</v>
      </c>
      <c r="D1811"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H1811" s="54" t="s">
        <v>19</v>
      </c>
      <c r="I1811" s="54" t="s">
        <v>19</v>
      </c>
      <c r="J1811" s="54" t="s">
        <v>19</v>
      </c>
      <c r="K1811" s="52" t="str">
        <f t="shared" si="75"/>
        <v>International</v>
      </c>
    </row>
    <row r="1812">
      <c r="A1812" s="53"/>
      <c r="B1812" s="53" t="str">
        <f>IFERROR(__xludf.DUMMYFUNCTION("""COMPUTED_VALUE"""),"Vanuatu [GAZ:00006918]                    ")</f>
        <v>Vanuatu [GAZ:00006918]                    </v>
      </c>
      <c r="C1812" s="53" t="str">
        <f>IFERROR(__xludf.DUMMYFUNCTION("""COMPUTED_VALUE"""),"GAZ:00006918")</f>
        <v>GAZ:00006918</v>
      </c>
      <c r="D1812"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H1812" s="54" t="s">
        <v>19</v>
      </c>
      <c r="I1812" s="54" t="s">
        <v>19</v>
      </c>
      <c r="J1812" s="54" t="s">
        <v>19</v>
      </c>
      <c r="K1812" s="52" t="str">
        <f t="shared" si="75"/>
        <v>International</v>
      </c>
    </row>
    <row r="1813">
      <c r="A1813" s="53"/>
      <c r="B1813" s="53" t="str">
        <f>IFERROR(__xludf.DUMMYFUNCTION("""COMPUTED_VALUE"""),"Venezuela [GAZ:00002931]                    ")</f>
        <v>Venezuela [GAZ:00002931]                    </v>
      </c>
      <c r="C1813" s="53" t="str">
        <f>IFERROR(__xludf.DUMMYFUNCTION("""COMPUTED_VALUE"""),"GAZ:00002931")</f>
        <v>GAZ:00002931</v>
      </c>
      <c r="D1813"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H1813" s="54" t="s">
        <v>19</v>
      </c>
      <c r="I1813" s="54" t="s">
        <v>19</v>
      </c>
      <c r="J1813" s="54" t="s">
        <v>19</v>
      </c>
      <c r="K1813" s="52" t="str">
        <f t="shared" si="75"/>
        <v>International</v>
      </c>
    </row>
    <row r="1814">
      <c r="A1814" s="53"/>
      <c r="B1814" s="53" t="str">
        <f>IFERROR(__xludf.DUMMYFUNCTION("""COMPUTED_VALUE"""),"Viet Nam [GAZ:00003756]                    ")</f>
        <v>Viet Nam [GAZ:00003756]                    </v>
      </c>
      <c r="C1814" s="53" t="str">
        <f>IFERROR(__xludf.DUMMYFUNCTION("""COMPUTED_VALUE"""),"GAZ:00003756")</f>
        <v>GAZ:00003756</v>
      </c>
      <c r="D1814"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H1814" s="54" t="s">
        <v>19</v>
      </c>
      <c r="I1814" s="54" t="s">
        <v>19</v>
      </c>
      <c r="J1814" s="54" t="s">
        <v>19</v>
      </c>
      <c r="K1814" s="52" t="str">
        <f t="shared" si="75"/>
        <v>International</v>
      </c>
    </row>
    <row r="1815">
      <c r="A1815" s="53"/>
      <c r="B1815" s="53" t="str">
        <f>IFERROR(__xludf.DUMMYFUNCTION("""COMPUTED_VALUE"""),"Virgin Islands [GAZ:00003959]                    ")</f>
        <v>Virgin Islands [GAZ:00003959]                    </v>
      </c>
      <c r="C1815" s="53" t="str">
        <f>IFERROR(__xludf.DUMMYFUNCTION("""COMPUTED_VALUE"""),"GAZ:00003959")</f>
        <v>GAZ:00003959</v>
      </c>
      <c r="D1815"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H1815" s="54" t="s">
        <v>19</v>
      </c>
      <c r="I1815" s="54" t="s">
        <v>19</v>
      </c>
      <c r="J1815" s="54" t="s">
        <v>19</v>
      </c>
      <c r="K1815" s="52" t="str">
        <f t="shared" si="75"/>
        <v>International</v>
      </c>
    </row>
    <row r="1816">
      <c r="A1816" s="53"/>
      <c r="B1816" s="53" t="str">
        <f>IFERROR(__xludf.DUMMYFUNCTION("""COMPUTED_VALUE"""),"Wake Island [GAZ:00007111]                    ")</f>
        <v>Wake Island [GAZ:00007111]                    </v>
      </c>
      <c r="C1816" s="53" t="str">
        <f>IFERROR(__xludf.DUMMYFUNCTION("""COMPUTED_VALUE"""),"GAZ:00007111")</f>
        <v>GAZ:00007111</v>
      </c>
      <c r="D1816"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H1816" s="54" t="s">
        <v>19</v>
      </c>
      <c r="I1816" s="54" t="s">
        <v>19</v>
      </c>
      <c r="J1816" s="54" t="s">
        <v>19</v>
      </c>
      <c r="K1816" s="52" t="str">
        <f t="shared" si="75"/>
        <v>International</v>
      </c>
    </row>
    <row r="1817">
      <c r="A1817" s="53"/>
      <c r="B1817" s="53" t="str">
        <f>IFERROR(__xludf.DUMMYFUNCTION("""COMPUTED_VALUE"""),"Wallis and Futuna [GAZ:00007191]                    ")</f>
        <v>Wallis and Futuna [GAZ:00007191]                    </v>
      </c>
      <c r="C1817" s="53" t="str">
        <f>IFERROR(__xludf.DUMMYFUNCTION("""COMPUTED_VALUE"""),"GAZ:00007191")</f>
        <v>GAZ:00007191</v>
      </c>
      <c r="D1817"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H1817" s="54" t="s">
        <v>19</v>
      </c>
      <c r="I1817" s="54" t="s">
        <v>19</v>
      </c>
      <c r="J1817" s="54" t="s">
        <v>19</v>
      </c>
      <c r="K1817" s="52" t="str">
        <f t="shared" si="75"/>
        <v>International</v>
      </c>
    </row>
    <row r="1818">
      <c r="A1818" s="53"/>
      <c r="B1818" s="53" t="str">
        <f>IFERROR(__xludf.DUMMYFUNCTION("""COMPUTED_VALUE"""),"West Bank [GAZ:00009572]                    ")</f>
        <v>West Bank [GAZ:00009572]                    </v>
      </c>
      <c r="C1818" s="53" t="str">
        <f>IFERROR(__xludf.DUMMYFUNCTION("""COMPUTED_VALUE"""),"GAZ:00009572")</f>
        <v>GAZ:00009572</v>
      </c>
      <c r="D1818"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H1818" s="54" t="s">
        <v>19</v>
      </c>
      <c r="I1818" s="54" t="s">
        <v>19</v>
      </c>
      <c r="J1818" s="54" t="s">
        <v>19</v>
      </c>
      <c r="K1818" s="52" t="str">
        <f t="shared" si="75"/>
        <v>International</v>
      </c>
    </row>
    <row r="1819">
      <c r="A1819" s="53"/>
      <c r="B1819" s="53" t="str">
        <f>IFERROR(__xludf.DUMMYFUNCTION("""COMPUTED_VALUE"""),"Western Sahara [GAZ:00000564]                    ")</f>
        <v>Western Sahara [GAZ:00000564]                    </v>
      </c>
      <c r="C1819" s="53" t="str">
        <f>IFERROR(__xludf.DUMMYFUNCTION("""COMPUTED_VALUE"""),"GAZ:00000564")</f>
        <v>GAZ:00000564</v>
      </c>
      <c r="D1819"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H1819" s="54" t="s">
        <v>19</v>
      </c>
      <c r="I1819" s="54" t="s">
        <v>19</v>
      </c>
      <c r="J1819" s="54" t="s">
        <v>19</v>
      </c>
      <c r="K1819" s="52" t="str">
        <f t="shared" si="75"/>
        <v>International</v>
      </c>
    </row>
    <row r="1820">
      <c r="A1820" s="53"/>
      <c r="B1820" s="53" t="str">
        <f>IFERROR(__xludf.DUMMYFUNCTION("""COMPUTED_VALUE"""),"Yemen [GAZ:00005284]                    ")</f>
        <v>Yemen [GAZ:00005284]                    </v>
      </c>
      <c r="C1820" s="53" t="str">
        <f>IFERROR(__xludf.DUMMYFUNCTION("""COMPUTED_VALUE"""),"GAZ:00005284")</f>
        <v>GAZ:00005284</v>
      </c>
      <c r="D1820"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H1820" s="54" t="s">
        <v>19</v>
      </c>
      <c r="I1820" s="54" t="s">
        <v>19</v>
      </c>
      <c r="J1820" s="54" t="s">
        <v>19</v>
      </c>
      <c r="K1820" s="52" t="str">
        <f t="shared" si="75"/>
        <v>International</v>
      </c>
    </row>
    <row r="1821">
      <c r="A1821" s="53"/>
      <c r="B1821" s="53" t="str">
        <f>IFERROR(__xludf.DUMMYFUNCTION("""COMPUTED_VALUE"""),"Zambia [GAZ:00001107]                    ")</f>
        <v>Zambia [GAZ:00001107]                    </v>
      </c>
      <c r="C1821" s="53" t="str">
        <f>IFERROR(__xludf.DUMMYFUNCTION("""COMPUTED_VALUE"""),"GAZ:00001107")</f>
        <v>GAZ:00001107</v>
      </c>
      <c r="D1821"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H1821" s="54" t="s">
        <v>19</v>
      </c>
      <c r="I1821" s="54" t="s">
        <v>19</v>
      </c>
      <c r="J1821" s="54" t="s">
        <v>19</v>
      </c>
      <c r="K1821" s="52" t="str">
        <f t="shared" si="75"/>
        <v>International</v>
      </c>
    </row>
    <row r="1822">
      <c r="B1822" s="53" t="str">
        <f>IFERROR(__xludf.DUMMYFUNCTION("""COMPUTED_VALUE"""),"Zimbabwe [GAZ:00001106]                    ")</f>
        <v>Zimbabwe [GAZ:00001106]                    </v>
      </c>
      <c r="C1822" s="53" t="str">
        <f>IFERROR(__xludf.DUMMYFUNCTION("""COMPUTED_VALUE"""),"GAZ:00001106")</f>
        <v>GAZ:00001106</v>
      </c>
      <c r="D1822"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H1822" s="54"/>
      <c r="I1822" s="54"/>
      <c r="J1822" s="54"/>
      <c r="K1822" s="52"/>
    </row>
    <row r="1823">
      <c r="D1823" s="29"/>
      <c r="H1823" s="54"/>
      <c r="I1823" s="54"/>
      <c r="J1823" s="54"/>
      <c r="K1823" s="52"/>
    </row>
    <row r="1824">
      <c r="D1824" s="29"/>
      <c r="H1824" s="54"/>
      <c r="I1824" s="54"/>
      <c r="J1824" s="54"/>
      <c r="K1824" s="52"/>
    </row>
    <row r="1825">
      <c r="D1825" s="29"/>
      <c r="H1825" s="54"/>
      <c r="I1825" s="54"/>
      <c r="J1825" s="54"/>
      <c r="K1825" s="52"/>
    </row>
    <row r="1826">
      <c r="D1826" s="29"/>
      <c r="H1826" s="54"/>
      <c r="I1826" s="54"/>
      <c r="J1826" s="54"/>
      <c r="K1826" s="52"/>
    </row>
    <row r="1827">
      <c r="D1827" s="29"/>
      <c r="H1827" s="54"/>
      <c r="I1827" s="54"/>
      <c r="J1827" s="54"/>
      <c r="K1827" s="52"/>
    </row>
    <row r="1828">
      <c r="D1828" s="29"/>
      <c r="H1828" s="54"/>
      <c r="I1828" s="54"/>
      <c r="J1828" s="54"/>
      <c r="K1828" s="52"/>
    </row>
    <row r="1829">
      <c r="D1829" s="29"/>
      <c r="H1829" s="54"/>
      <c r="I1829" s="54"/>
      <c r="J1829" s="54"/>
      <c r="K1829" s="52"/>
    </row>
    <row r="1830">
      <c r="D1830" s="29"/>
      <c r="H1830" s="54"/>
      <c r="I1830" s="54"/>
      <c r="J1830" s="54"/>
      <c r="K1830" s="52"/>
    </row>
    <row r="1831">
      <c r="D1831" s="29"/>
      <c r="K1831" s="52"/>
    </row>
    <row r="1832">
      <c r="D1832" s="29"/>
      <c r="K1832" s="52"/>
    </row>
    <row r="1833">
      <c r="D1833" s="29"/>
      <c r="K1833" s="52"/>
    </row>
    <row r="1834">
      <c r="D1834" s="29"/>
      <c r="K1834" s="52"/>
    </row>
    <row r="1835">
      <c r="D1835" s="29"/>
      <c r="K1835" s="52"/>
    </row>
    <row r="1836">
      <c r="D1836" s="29"/>
      <c r="K1836" s="52"/>
    </row>
    <row r="1837">
      <c r="D1837" s="29"/>
      <c r="K1837" s="52"/>
    </row>
    <row r="1838">
      <c r="D1838" s="29"/>
      <c r="K1838" s="52"/>
    </row>
    <row r="1839">
      <c r="D1839" s="29"/>
      <c r="K1839" s="52"/>
    </row>
    <row r="1840">
      <c r="D1840" s="29"/>
      <c r="K1840" s="52"/>
    </row>
    <row r="1841">
      <c r="D1841" s="29"/>
      <c r="K1841" s="52"/>
    </row>
    <row r="1842">
      <c r="D1842" s="29"/>
      <c r="K1842" s="52"/>
    </row>
    <row r="1843">
      <c r="D1843" s="29"/>
      <c r="K1843" s="52"/>
    </row>
    <row r="1844">
      <c r="D1844" s="29"/>
      <c r="K1844" s="52"/>
    </row>
    <row r="1845">
      <c r="D1845" s="29"/>
      <c r="K1845" s="52"/>
    </row>
    <row r="1846">
      <c r="D1846" s="29"/>
      <c r="K1846" s="52"/>
    </row>
    <row r="1847">
      <c r="D1847" s="29"/>
      <c r="K1847" s="52"/>
    </row>
    <row r="1848">
      <c r="D1848" s="29"/>
      <c r="K1848" s="52"/>
    </row>
    <row r="1849">
      <c r="D1849" s="29"/>
      <c r="K1849" s="52"/>
    </row>
    <row r="1850">
      <c r="D1850" s="29"/>
      <c r="K1850" s="52"/>
    </row>
    <row r="1851">
      <c r="D1851" s="29"/>
      <c r="K1851" s="52"/>
    </row>
    <row r="1852">
      <c r="D1852" s="29"/>
      <c r="K1852" s="52"/>
    </row>
    <row r="1853">
      <c r="D1853" s="29"/>
      <c r="K1853" s="52"/>
    </row>
    <row r="1854">
      <c r="D1854" s="29"/>
      <c r="K1854" s="52"/>
    </row>
    <row r="1855">
      <c r="D1855" s="29"/>
      <c r="K1855" s="52"/>
    </row>
    <row r="1856">
      <c r="D1856" s="29"/>
      <c r="K1856" s="52"/>
    </row>
    <row r="1857">
      <c r="D1857" s="29"/>
      <c r="K1857" s="52"/>
    </row>
    <row r="1858">
      <c r="D1858" s="29"/>
      <c r="K1858" s="52"/>
    </row>
    <row r="1859">
      <c r="D1859" s="29"/>
      <c r="K1859" s="52"/>
    </row>
    <row r="1860">
      <c r="D1860" s="29"/>
      <c r="K1860" s="52"/>
    </row>
    <row r="1861">
      <c r="D1861" s="29"/>
      <c r="K1861" s="52"/>
    </row>
    <row r="1862">
      <c r="D1862" s="29"/>
      <c r="K1862" s="52"/>
    </row>
    <row r="1863">
      <c r="D1863" s="29"/>
      <c r="K1863" s="52"/>
    </row>
    <row r="1864">
      <c r="D1864" s="29"/>
      <c r="K1864" s="52"/>
    </row>
    <row r="1865">
      <c r="D1865" s="29"/>
      <c r="K1865" s="52"/>
    </row>
    <row r="1866">
      <c r="D1866" s="29"/>
      <c r="K1866" s="52"/>
    </row>
    <row r="1867">
      <c r="D1867" s="29"/>
      <c r="K1867" s="52"/>
    </row>
    <row r="1868">
      <c r="D1868" s="29"/>
      <c r="K1868" s="52"/>
    </row>
    <row r="1869">
      <c r="D1869" s="29"/>
      <c r="K1869" s="52"/>
    </row>
    <row r="1870">
      <c r="D1870" s="29"/>
      <c r="K1870" s="52"/>
    </row>
    <row r="1871">
      <c r="D1871" s="29"/>
      <c r="K1871" s="52"/>
    </row>
    <row r="1872">
      <c r="D1872" s="29"/>
      <c r="K1872" s="52"/>
    </row>
    <row r="1873">
      <c r="D1873" s="29"/>
      <c r="K1873" s="52"/>
    </row>
    <row r="1874">
      <c r="D1874" s="29"/>
      <c r="K1874" s="52"/>
    </row>
    <row r="1875">
      <c r="D1875" s="29"/>
      <c r="K1875" s="52"/>
    </row>
    <row r="1876">
      <c r="D1876" s="29"/>
      <c r="K1876" s="52"/>
    </row>
    <row r="1877">
      <c r="D1877" s="29"/>
      <c r="K1877" s="52"/>
    </row>
    <row r="1878">
      <c r="D1878" s="29"/>
      <c r="K1878" s="52"/>
    </row>
    <row r="1879">
      <c r="D1879" s="29"/>
      <c r="K1879" s="52"/>
    </row>
    <row r="1880">
      <c r="D1880" s="29"/>
      <c r="K1880" s="52"/>
    </row>
    <row r="1881">
      <c r="D1881" s="29"/>
      <c r="K1881" s="52"/>
    </row>
    <row r="1882">
      <c r="D1882" s="29"/>
      <c r="K1882" s="52"/>
    </row>
    <row r="1883">
      <c r="D1883" s="29"/>
      <c r="K1883" s="52"/>
    </row>
    <row r="1884">
      <c r="D1884" s="29"/>
      <c r="K1884" s="52"/>
    </row>
    <row r="1885">
      <c r="D1885" s="29"/>
      <c r="K1885" s="52"/>
    </row>
    <row r="1886">
      <c r="D1886" s="29"/>
      <c r="K1886" s="52"/>
    </row>
    <row r="1887">
      <c r="D1887" s="29"/>
      <c r="K1887" s="52"/>
    </row>
    <row r="1888">
      <c r="D1888" s="29"/>
      <c r="K1888" s="52"/>
    </row>
    <row r="1889">
      <c r="D1889" s="29"/>
      <c r="K1889" s="52"/>
    </row>
    <row r="1890">
      <c r="D1890" s="29"/>
      <c r="K1890" s="52"/>
    </row>
    <row r="1891">
      <c r="D1891" s="29"/>
      <c r="K1891" s="52"/>
    </row>
    <row r="1892">
      <c r="D1892" s="29"/>
      <c r="K1892" s="52"/>
    </row>
    <row r="1893">
      <c r="D1893" s="29"/>
      <c r="K1893" s="52"/>
    </row>
    <row r="1894">
      <c r="D1894" s="29"/>
      <c r="K1894" s="52"/>
    </row>
    <row r="1895">
      <c r="D1895" s="29"/>
      <c r="K1895" s="52"/>
    </row>
    <row r="1896">
      <c r="D1896" s="29"/>
      <c r="K1896" s="52"/>
    </row>
    <row r="1897">
      <c r="D1897" s="29"/>
      <c r="K1897" s="52"/>
    </row>
    <row r="1898">
      <c r="D1898" s="29"/>
      <c r="K1898" s="52"/>
    </row>
    <row r="1899">
      <c r="D1899" s="29"/>
      <c r="K1899" s="52"/>
    </row>
    <row r="1900">
      <c r="D1900" s="29"/>
      <c r="K1900" s="52"/>
    </row>
    <row r="1901">
      <c r="D1901" s="29"/>
      <c r="K1901" s="52"/>
    </row>
    <row r="1902">
      <c r="D1902" s="29"/>
      <c r="K1902" s="52"/>
    </row>
    <row r="1903">
      <c r="D1903" s="29"/>
      <c r="K1903" s="52"/>
    </row>
    <row r="1904">
      <c r="D1904" s="29"/>
      <c r="K1904" s="52"/>
    </row>
    <row r="1905">
      <c r="D1905" s="29"/>
      <c r="K1905" s="52"/>
    </row>
    <row r="1906">
      <c r="D1906" s="29"/>
      <c r="K1906" s="52"/>
    </row>
    <row r="1907">
      <c r="D1907" s="29"/>
      <c r="K1907" s="52"/>
    </row>
    <row r="1908">
      <c r="D1908" s="29"/>
      <c r="K1908" s="52"/>
    </row>
    <row r="1909">
      <c r="D1909" s="29"/>
      <c r="K1909" s="52"/>
    </row>
    <row r="1910">
      <c r="D1910" s="29"/>
      <c r="K1910" s="52"/>
    </row>
    <row r="1911">
      <c r="D1911" s="29"/>
      <c r="K1911" s="52"/>
    </row>
    <row r="1912">
      <c r="D1912" s="29"/>
      <c r="K1912" s="52"/>
    </row>
    <row r="1913">
      <c r="D1913" s="29"/>
      <c r="K1913" s="52"/>
    </row>
    <row r="1914">
      <c r="D1914" s="29"/>
      <c r="K1914" s="52"/>
    </row>
    <row r="1915">
      <c r="D1915" s="29"/>
      <c r="K1915" s="52"/>
    </row>
    <row r="1916">
      <c r="D1916" s="29"/>
      <c r="K1916" s="52"/>
    </row>
    <row r="1917">
      <c r="D1917" s="29"/>
      <c r="K1917" s="52"/>
    </row>
    <row r="1918">
      <c r="D1918" s="29"/>
      <c r="K1918" s="52"/>
    </row>
    <row r="1919">
      <c r="D1919" s="29"/>
      <c r="K1919" s="52"/>
    </row>
    <row r="1920">
      <c r="D1920" s="29"/>
      <c r="K1920" s="52"/>
    </row>
    <row r="1921">
      <c r="D1921" s="29"/>
      <c r="K1921" s="52"/>
    </row>
    <row r="1922">
      <c r="D1922" s="29"/>
      <c r="K1922" s="52"/>
    </row>
    <row r="1923">
      <c r="D1923" s="29"/>
      <c r="K1923" s="52"/>
    </row>
    <row r="1924">
      <c r="D1924" s="29"/>
      <c r="K1924" s="52"/>
    </row>
    <row r="1925">
      <c r="D1925" s="29"/>
      <c r="K1925" s="52"/>
    </row>
    <row r="1926">
      <c r="D1926" s="29"/>
      <c r="K1926" s="52"/>
    </row>
    <row r="1927">
      <c r="D1927" s="29"/>
      <c r="K1927" s="52"/>
    </row>
    <row r="1928">
      <c r="D1928" s="29"/>
      <c r="K1928" s="52"/>
    </row>
    <row r="1929">
      <c r="D1929" s="29"/>
      <c r="K1929" s="52"/>
    </row>
    <row r="1930">
      <c r="D1930" s="29"/>
      <c r="K1930" s="52"/>
    </row>
    <row r="1931">
      <c r="D1931" s="29"/>
      <c r="K1931" s="52"/>
    </row>
    <row r="1932">
      <c r="D1932" s="29"/>
      <c r="K1932" s="52"/>
    </row>
    <row r="1933">
      <c r="D1933" s="29"/>
      <c r="K1933" s="52"/>
    </row>
    <row r="1934">
      <c r="D1934" s="29"/>
      <c r="K1934" s="52"/>
    </row>
    <row r="1935">
      <c r="D1935" s="29"/>
      <c r="K1935" s="52"/>
    </row>
    <row r="1936">
      <c r="D1936" s="29"/>
      <c r="K1936" s="52"/>
    </row>
    <row r="1937">
      <c r="D1937" s="29"/>
      <c r="K1937" s="52"/>
    </row>
    <row r="1938">
      <c r="D1938" s="29"/>
      <c r="K1938" s="52"/>
    </row>
    <row r="1939">
      <c r="D1939" s="29"/>
      <c r="K1939" s="52"/>
    </row>
    <row r="1940">
      <c r="D1940" s="29"/>
      <c r="K1940" s="52"/>
    </row>
    <row r="1941">
      <c r="D1941" s="29"/>
      <c r="K1941" s="52"/>
    </row>
    <row r="1942">
      <c r="D1942" s="29"/>
      <c r="K1942" s="52"/>
    </row>
    <row r="1943">
      <c r="D1943" s="29"/>
      <c r="K1943" s="52"/>
    </row>
    <row r="1944">
      <c r="D1944" s="29"/>
      <c r="K1944" s="52"/>
    </row>
    <row r="1945">
      <c r="D1945" s="29"/>
      <c r="K1945" s="52"/>
    </row>
    <row r="1946">
      <c r="D1946" s="29"/>
      <c r="K1946" s="52"/>
    </row>
    <row r="1947">
      <c r="D1947" s="29"/>
      <c r="K1947" s="52"/>
    </row>
    <row r="1948">
      <c r="D1948" s="29"/>
      <c r="K1948" s="52"/>
    </row>
    <row r="1949">
      <c r="D1949" s="29"/>
      <c r="K1949" s="52"/>
    </row>
    <row r="1950">
      <c r="D1950" s="29"/>
      <c r="K1950" s="52"/>
    </row>
    <row r="1951">
      <c r="D1951" s="29"/>
      <c r="K1951" s="52"/>
    </row>
    <row r="1952">
      <c r="D1952" s="29"/>
      <c r="K1952" s="52"/>
    </row>
    <row r="1953">
      <c r="D1953" s="29"/>
      <c r="K1953" s="52"/>
    </row>
    <row r="1954">
      <c r="D1954" s="29"/>
      <c r="K1954" s="52"/>
    </row>
    <row r="1955">
      <c r="D1955" s="29"/>
      <c r="K1955" s="52"/>
    </row>
    <row r="1956">
      <c r="D1956" s="29"/>
      <c r="K1956" s="52"/>
    </row>
    <row r="1957">
      <c r="D1957" s="29"/>
      <c r="K1957" s="52"/>
    </row>
    <row r="1958">
      <c r="D1958" s="29"/>
      <c r="K1958" s="52"/>
    </row>
    <row r="1959">
      <c r="D1959" s="29"/>
      <c r="K1959" s="52"/>
    </row>
    <row r="1960">
      <c r="D1960" s="29"/>
      <c r="K1960" s="52"/>
    </row>
    <row r="1961">
      <c r="D1961" s="29"/>
      <c r="K1961" s="52"/>
    </row>
    <row r="1962">
      <c r="D1962" s="29"/>
      <c r="K1962" s="52"/>
    </row>
    <row r="1963">
      <c r="D1963" s="29"/>
      <c r="K1963" s="52"/>
    </row>
    <row r="1964">
      <c r="D1964" s="29"/>
      <c r="K1964" s="52"/>
    </row>
    <row r="1965">
      <c r="D1965" s="29"/>
      <c r="K1965" s="52"/>
    </row>
    <row r="1966">
      <c r="D1966" s="29"/>
      <c r="K1966" s="52"/>
    </row>
    <row r="1967">
      <c r="D1967" s="29"/>
      <c r="K1967" s="52"/>
    </row>
    <row r="1968">
      <c r="D1968" s="29"/>
      <c r="K1968" s="52"/>
    </row>
    <row r="1969">
      <c r="D1969" s="29"/>
      <c r="K1969" s="52"/>
    </row>
    <row r="1970">
      <c r="D1970" s="29"/>
      <c r="K1970" s="52"/>
    </row>
    <row r="1971">
      <c r="D1971" s="29"/>
      <c r="K1971" s="52"/>
    </row>
    <row r="1972">
      <c r="D1972" s="29"/>
      <c r="K1972" s="52"/>
    </row>
    <row r="1973">
      <c r="D1973" s="29"/>
      <c r="K1973" s="52"/>
    </row>
    <row r="1974">
      <c r="D1974" s="29"/>
      <c r="K1974" s="52"/>
    </row>
    <row r="1975">
      <c r="D1975" s="29"/>
      <c r="K1975" s="52"/>
    </row>
    <row r="1976">
      <c r="D1976" s="29"/>
      <c r="K1976" s="52"/>
    </row>
    <row r="1977">
      <c r="D1977" s="29"/>
      <c r="K1977" s="52"/>
    </row>
    <row r="1978">
      <c r="D1978" s="29"/>
      <c r="K1978" s="52"/>
    </row>
    <row r="1979">
      <c r="D1979" s="29"/>
      <c r="K1979" s="52"/>
    </row>
    <row r="1980">
      <c r="D1980" s="29"/>
      <c r="K1980" s="52"/>
    </row>
    <row r="1981">
      <c r="D1981" s="29"/>
      <c r="K1981" s="52"/>
    </row>
    <row r="1982">
      <c r="D1982" s="29"/>
      <c r="K1982" s="52"/>
    </row>
    <row r="1983">
      <c r="D1983" s="29"/>
      <c r="K1983" s="52"/>
    </row>
    <row r="1984">
      <c r="D1984" s="29"/>
      <c r="K1984" s="52"/>
    </row>
    <row r="1985">
      <c r="D1985" s="29"/>
      <c r="K1985" s="52"/>
    </row>
    <row r="1986">
      <c r="D1986" s="29"/>
      <c r="K1986" s="52"/>
    </row>
    <row r="1987">
      <c r="D1987" s="29"/>
      <c r="K1987" s="52"/>
    </row>
    <row r="1988">
      <c r="D1988" s="29"/>
      <c r="K1988" s="52"/>
    </row>
    <row r="1989">
      <c r="D1989" s="29"/>
      <c r="K1989" s="52"/>
    </row>
    <row r="1990">
      <c r="D1990" s="29"/>
      <c r="K1990" s="52"/>
    </row>
    <row r="1991">
      <c r="D1991" s="29"/>
      <c r="K1991" s="52"/>
    </row>
    <row r="1992">
      <c r="D1992" s="29"/>
      <c r="K1992" s="52"/>
    </row>
    <row r="1993">
      <c r="D1993" s="29"/>
      <c r="K1993" s="52"/>
    </row>
    <row r="1994">
      <c r="D1994" s="29"/>
      <c r="K1994" s="52"/>
    </row>
    <row r="1995">
      <c r="D1995" s="29"/>
      <c r="K1995" s="52"/>
    </row>
    <row r="1996">
      <c r="D1996" s="29"/>
      <c r="K1996" s="52"/>
    </row>
    <row r="1997">
      <c r="D1997" s="29"/>
      <c r="K1997" s="52"/>
    </row>
    <row r="1998">
      <c r="D1998" s="29"/>
      <c r="K1998" s="52"/>
    </row>
    <row r="1999">
      <c r="D1999" s="29"/>
      <c r="K1999" s="52"/>
    </row>
    <row r="2000">
      <c r="D2000" s="29"/>
    </row>
    <row r="2001">
      <c r="D2001" s="29"/>
    </row>
    <row r="2002">
      <c r="D2002" s="29"/>
    </row>
    <row r="2003">
      <c r="D2003" s="29"/>
    </row>
    <row r="2004">
      <c r="D2004" s="29"/>
    </row>
    <row r="2005">
      <c r="D2005" s="29"/>
    </row>
    <row r="2006">
      <c r="D2006" s="29"/>
    </row>
    <row r="2007">
      <c r="D2007" s="29"/>
    </row>
    <row r="2008">
      <c r="D2008" s="29"/>
    </row>
    <row r="2009">
      <c r="D2009" s="29"/>
    </row>
    <row r="2010">
      <c r="D2010" s="29"/>
    </row>
    <row r="2011">
      <c r="D2011" s="29"/>
    </row>
    <row r="2012">
      <c r="D2012" s="29"/>
    </row>
    <row r="2013">
      <c r="D2013" s="29"/>
    </row>
    <row r="2014">
      <c r="D2014" s="29"/>
    </row>
    <row r="2015">
      <c r="D2015" s="29"/>
    </row>
    <row r="2016">
      <c r="D2016" s="29"/>
    </row>
    <row r="2017">
      <c r="D2017" s="29"/>
    </row>
    <row r="2018">
      <c r="D2018" s="29"/>
    </row>
    <row r="2019">
      <c r="D2019" s="29"/>
    </row>
    <row r="2020">
      <c r="D2020" s="29"/>
    </row>
    <row r="2021">
      <c r="D2021" s="29"/>
    </row>
    <row r="2022">
      <c r="D2022" s="29"/>
    </row>
    <row r="2023">
      <c r="D2023" s="29"/>
    </row>
    <row r="2024">
      <c r="D2024" s="29"/>
    </row>
    <row r="2025">
      <c r="D2025" s="29"/>
    </row>
    <row r="2026">
      <c r="D2026" s="29"/>
    </row>
    <row r="2027">
      <c r="D2027" s="29"/>
    </row>
    <row r="2028">
      <c r="D2028" s="29"/>
    </row>
    <row r="2029">
      <c r="D2029" s="29"/>
    </row>
    <row r="2030">
      <c r="D2030" s="29"/>
    </row>
    <row r="2031">
      <c r="D2031" s="29"/>
    </row>
    <row r="2032">
      <c r="D2032" s="29"/>
    </row>
    <row r="2033">
      <c r="D2033" s="29"/>
    </row>
    <row r="2034">
      <c r="D2034" s="29"/>
    </row>
    <row r="2035">
      <c r="D2035" s="29"/>
    </row>
    <row r="2036">
      <c r="D2036" s="29"/>
    </row>
    <row r="2037">
      <c r="D2037" s="29"/>
    </row>
    <row r="2038">
      <c r="D2038" s="29"/>
    </row>
    <row r="2039">
      <c r="D2039" s="29"/>
    </row>
    <row r="2040">
      <c r="D2040" s="29"/>
    </row>
    <row r="2041">
      <c r="D2041" s="29"/>
    </row>
    <row r="2042">
      <c r="D2042" s="29"/>
    </row>
    <row r="2043">
      <c r="D2043" s="29"/>
    </row>
    <row r="2044">
      <c r="D2044" s="29"/>
    </row>
    <row r="2045">
      <c r="D2045" s="29"/>
    </row>
    <row r="2046">
      <c r="D2046" s="29"/>
    </row>
    <row r="2047">
      <c r="D2047" s="29"/>
    </row>
    <row r="2048">
      <c r="D2048" s="29"/>
    </row>
    <row r="2049">
      <c r="D2049" s="29"/>
    </row>
    <row r="2050">
      <c r="D2050" s="29"/>
    </row>
    <row r="2051">
      <c r="D2051" s="29"/>
    </row>
    <row r="2052">
      <c r="D2052" s="29"/>
    </row>
    <row r="2053">
      <c r="D2053" s="29"/>
    </row>
    <row r="2054">
      <c r="D2054" s="29"/>
    </row>
    <row r="2055">
      <c r="D2055" s="29"/>
    </row>
    <row r="2056">
      <c r="D2056" s="29"/>
    </row>
    <row r="2057">
      <c r="D2057" s="29"/>
    </row>
    <row r="2058">
      <c r="D2058" s="29"/>
    </row>
    <row r="2059">
      <c r="D2059" s="29"/>
    </row>
    <row r="2060">
      <c r="D2060" s="29"/>
    </row>
    <row r="2061">
      <c r="D2061" s="29"/>
    </row>
    <row r="2062">
      <c r="D2062" s="29"/>
    </row>
    <row r="2063">
      <c r="D2063" s="29"/>
    </row>
    <row r="2064">
      <c r="D2064" s="29"/>
    </row>
    <row r="2065">
      <c r="D2065" s="29"/>
    </row>
    <row r="2066">
      <c r="D2066" s="29"/>
    </row>
    <row r="2067">
      <c r="D2067" s="29"/>
    </row>
    <row r="2068">
      <c r="D2068" s="29"/>
    </row>
    <row r="2069">
      <c r="D2069" s="29"/>
    </row>
    <row r="2070">
      <c r="D2070" s="29"/>
    </row>
    <row r="2071">
      <c r="D2071" s="29"/>
    </row>
    <row r="2072">
      <c r="D2072" s="29"/>
    </row>
    <row r="2073">
      <c r="D2073" s="29"/>
    </row>
    <row r="2074">
      <c r="D2074" s="29"/>
    </row>
    <row r="2075">
      <c r="D2075" s="29"/>
    </row>
    <row r="2076">
      <c r="D2076" s="29"/>
    </row>
    <row r="2077">
      <c r="D2077" s="29"/>
    </row>
    <row r="2078">
      <c r="D2078" s="29"/>
    </row>
    <row r="2079">
      <c r="D2079" s="29"/>
    </row>
    <row r="2080">
      <c r="D2080" s="29"/>
    </row>
    <row r="2081">
      <c r="D2081" s="29"/>
    </row>
    <row r="2082">
      <c r="D2082" s="29"/>
    </row>
    <row r="2083">
      <c r="D2083" s="29"/>
    </row>
    <row r="2084">
      <c r="D2084" s="29"/>
    </row>
    <row r="2085">
      <c r="D2085" s="29"/>
    </row>
    <row r="2086">
      <c r="D2086" s="29"/>
    </row>
    <row r="2087">
      <c r="D2087" s="29"/>
    </row>
    <row r="2088">
      <c r="D2088" s="29"/>
    </row>
    <row r="2089">
      <c r="D2089" s="29"/>
    </row>
    <row r="2090">
      <c r="D2090" s="29"/>
    </row>
    <row r="2091">
      <c r="D2091" s="29"/>
    </row>
    <row r="2092">
      <c r="D2092" s="29"/>
    </row>
    <row r="2093">
      <c r="D2093" s="29"/>
    </row>
    <row r="2094">
      <c r="D2094" s="29"/>
    </row>
    <row r="2095">
      <c r="D2095" s="29"/>
    </row>
    <row r="2096">
      <c r="D2096" s="29"/>
    </row>
    <row r="2097">
      <c r="D2097" s="29"/>
    </row>
    <row r="2098">
      <c r="D2098" s="29"/>
    </row>
    <row r="2099">
      <c r="D2099" s="29"/>
    </row>
    <row r="2100">
      <c r="D2100" s="29"/>
    </row>
    <row r="2101">
      <c r="D2101" s="29"/>
    </row>
    <row r="2102">
      <c r="D2102" s="29"/>
    </row>
    <row r="2103">
      <c r="D2103" s="29"/>
    </row>
    <row r="2104">
      <c r="D2104" s="29"/>
    </row>
    <row r="2105">
      <c r="D2105" s="29"/>
    </row>
    <row r="2106">
      <c r="D2106" s="29"/>
    </row>
    <row r="2107">
      <c r="D2107" s="29"/>
    </row>
    <row r="2108">
      <c r="D2108" s="29"/>
    </row>
    <row r="2109">
      <c r="D2109" s="29"/>
    </row>
    <row r="2110">
      <c r="D2110" s="29"/>
    </row>
    <row r="2111">
      <c r="D2111" s="29"/>
    </row>
    <row r="2112">
      <c r="D2112" s="29"/>
    </row>
    <row r="2113">
      <c r="D2113" s="29"/>
    </row>
    <row r="2114">
      <c r="D2114" s="29"/>
    </row>
    <row r="2115">
      <c r="D2115" s="29"/>
    </row>
    <row r="2116">
      <c r="D2116" s="29"/>
    </row>
    <row r="2117">
      <c r="D2117" s="29"/>
    </row>
    <row r="2118">
      <c r="D2118" s="29"/>
    </row>
    <row r="2119">
      <c r="D2119" s="29"/>
    </row>
    <row r="2120">
      <c r="D2120" s="29"/>
    </row>
    <row r="2121">
      <c r="D2121" s="29"/>
    </row>
    <row r="2122">
      <c r="D2122" s="29"/>
    </row>
    <row r="2123">
      <c r="D2123" s="29"/>
    </row>
    <row r="2124">
      <c r="D2124" s="29"/>
    </row>
    <row r="2125">
      <c r="D2125" s="29"/>
    </row>
    <row r="2126">
      <c r="D2126" s="29"/>
    </row>
    <row r="2127">
      <c r="D2127" s="29"/>
    </row>
    <row r="2128">
      <c r="D2128" s="29"/>
    </row>
    <row r="2129">
      <c r="D2129" s="29"/>
    </row>
    <row r="2130">
      <c r="D2130" s="29"/>
    </row>
    <row r="2131">
      <c r="D2131" s="29"/>
    </row>
    <row r="2132">
      <c r="D2132" s="29"/>
    </row>
    <row r="2133">
      <c r="D2133" s="29"/>
    </row>
    <row r="2134">
      <c r="D2134" s="29"/>
    </row>
    <row r="2135">
      <c r="D2135" s="29"/>
    </row>
    <row r="2136">
      <c r="D2136" s="29"/>
    </row>
    <row r="2137">
      <c r="D2137" s="29"/>
    </row>
    <row r="2138">
      <c r="D2138" s="29"/>
    </row>
    <row r="2139">
      <c r="D2139" s="29"/>
    </row>
    <row r="2140">
      <c r="D2140" s="29"/>
    </row>
    <row r="2141">
      <c r="D2141" s="29"/>
    </row>
    <row r="2142">
      <c r="D2142" s="29"/>
    </row>
    <row r="2143">
      <c r="D2143" s="29"/>
    </row>
    <row r="2144">
      <c r="D2144" s="29"/>
    </row>
    <row r="2145">
      <c r="D2145" s="29"/>
    </row>
    <row r="2146">
      <c r="D2146" s="29"/>
    </row>
    <row r="2147">
      <c r="D2147" s="29"/>
    </row>
    <row r="2148">
      <c r="D2148" s="29"/>
    </row>
    <row r="2149">
      <c r="D2149" s="29"/>
    </row>
    <row r="2150">
      <c r="D2150" s="29"/>
    </row>
    <row r="2151">
      <c r="D2151" s="29"/>
    </row>
    <row r="2152">
      <c r="D2152" s="29"/>
    </row>
    <row r="2153">
      <c r="D2153" s="29"/>
    </row>
    <row r="2154">
      <c r="D2154" s="29"/>
    </row>
    <row r="2155">
      <c r="D2155" s="29"/>
    </row>
    <row r="2156">
      <c r="D2156" s="29"/>
    </row>
    <row r="2157">
      <c r="D2157" s="29"/>
    </row>
    <row r="2158">
      <c r="D2158" s="29"/>
    </row>
    <row r="2159">
      <c r="D2159" s="29"/>
    </row>
    <row r="2160">
      <c r="D2160" s="29"/>
    </row>
    <row r="2161">
      <c r="D2161" s="29"/>
    </row>
    <row r="2162">
      <c r="D2162" s="29"/>
    </row>
    <row r="2163">
      <c r="D2163" s="29"/>
    </row>
    <row r="2164">
      <c r="D2164" s="29"/>
    </row>
    <row r="2165">
      <c r="D2165" s="29"/>
    </row>
    <row r="2166">
      <c r="D2166" s="29"/>
    </row>
    <row r="2167">
      <c r="D2167" s="29"/>
    </row>
    <row r="2168">
      <c r="D2168" s="29"/>
    </row>
    <row r="2169">
      <c r="D2169" s="29"/>
    </row>
    <row r="2170">
      <c r="D2170" s="29"/>
    </row>
    <row r="2171">
      <c r="D2171" s="29"/>
    </row>
    <row r="2172">
      <c r="D2172" s="29"/>
    </row>
    <row r="2173">
      <c r="D2173" s="29"/>
    </row>
    <row r="2174">
      <c r="D2174" s="29"/>
    </row>
    <row r="2175">
      <c r="D2175" s="29"/>
    </row>
    <row r="2176">
      <c r="D2176" s="29"/>
    </row>
    <row r="2177">
      <c r="D2177" s="29"/>
    </row>
    <row r="2178">
      <c r="D2178" s="29"/>
    </row>
    <row r="2179">
      <c r="D2179" s="29"/>
    </row>
    <row r="2180">
      <c r="D2180" s="29"/>
    </row>
    <row r="2181">
      <c r="D2181" s="29"/>
    </row>
    <row r="2182">
      <c r="D2182" s="29"/>
    </row>
    <row r="2183">
      <c r="D2183" s="29"/>
    </row>
    <row r="2184">
      <c r="D2184" s="29"/>
    </row>
    <row r="2185">
      <c r="D2185" s="29"/>
    </row>
    <row r="2186">
      <c r="D2186" s="29"/>
    </row>
    <row r="2187">
      <c r="D2187" s="29"/>
    </row>
    <row r="2188">
      <c r="D2188" s="29"/>
    </row>
    <row r="2189">
      <c r="D2189" s="29"/>
    </row>
    <row r="2190">
      <c r="D2190" s="29"/>
    </row>
    <row r="2191">
      <c r="D2191" s="29"/>
    </row>
    <row r="2192">
      <c r="D2192" s="29"/>
    </row>
    <row r="2193">
      <c r="D2193" s="29"/>
    </row>
    <row r="2194">
      <c r="D2194" s="29"/>
    </row>
    <row r="2195">
      <c r="D2195" s="29"/>
    </row>
    <row r="2196">
      <c r="D2196" s="29"/>
    </row>
    <row r="2197">
      <c r="D2197" s="29"/>
    </row>
    <row r="2198">
      <c r="D2198" s="29"/>
    </row>
    <row r="2199">
      <c r="D2199" s="29"/>
    </row>
    <row r="2200">
      <c r="D2200" s="29"/>
    </row>
    <row r="2201">
      <c r="D2201" s="29"/>
    </row>
    <row r="2202">
      <c r="D2202" s="29"/>
    </row>
    <row r="2203">
      <c r="D2203" s="29"/>
    </row>
    <row r="2204">
      <c r="D2204" s="29"/>
    </row>
    <row r="2205">
      <c r="D2205" s="29"/>
    </row>
    <row r="2206">
      <c r="D2206" s="29"/>
    </row>
    <row r="2207">
      <c r="D2207" s="29"/>
    </row>
    <row r="2208">
      <c r="D2208" s="29"/>
    </row>
    <row r="2209">
      <c r="D2209" s="29"/>
    </row>
    <row r="2210">
      <c r="D2210" s="29"/>
    </row>
    <row r="2211">
      <c r="D2211" s="29"/>
    </row>
    <row r="2212">
      <c r="D2212" s="29"/>
    </row>
    <row r="2213">
      <c r="D2213" s="29"/>
    </row>
    <row r="2214">
      <c r="D2214" s="29"/>
    </row>
    <row r="2215">
      <c r="D2215" s="29"/>
    </row>
    <row r="2216">
      <c r="D2216" s="29"/>
    </row>
    <row r="2217">
      <c r="D2217" s="29"/>
    </row>
    <row r="2218">
      <c r="D2218" s="29"/>
    </row>
    <row r="2219">
      <c r="D2219" s="29"/>
    </row>
    <row r="2220">
      <c r="D2220" s="29"/>
    </row>
    <row r="2221">
      <c r="D2221" s="29"/>
    </row>
    <row r="2222">
      <c r="D2222" s="29"/>
    </row>
    <row r="2223">
      <c r="D2223" s="29"/>
    </row>
    <row r="2224">
      <c r="D2224" s="29"/>
    </row>
    <row r="2225">
      <c r="D2225" s="29"/>
    </row>
    <row r="2226">
      <c r="D2226" s="29"/>
    </row>
    <row r="2227">
      <c r="D2227" s="29"/>
    </row>
    <row r="2228">
      <c r="D2228" s="29"/>
    </row>
    <row r="2229">
      <c r="D2229" s="29"/>
    </row>
    <row r="2230">
      <c r="D2230" s="29"/>
    </row>
    <row r="2231">
      <c r="D2231" s="29"/>
    </row>
    <row r="2232">
      <c r="D2232" s="29"/>
    </row>
    <row r="2233">
      <c r="D2233" s="29"/>
    </row>
    <row r="2234">
      <c r="D2234" s="29"/>
    </row>
    <row r="2235">
      <c r="D2235" s="29"/>
    </row>
    <row r="2236">
      <c r="D2236" s="29"/>
    </row>
    <row r="2237">
      <c r="D2237" s="29"/>
    </row>
    <row r="2238">
      <c r="D2238" s="29"/>
    </row>
    <row r="2239">
      <c r="D2239" s="29"/>
    </row>
    <row r="2240">
      <c r="D2240" s="29"/>
    </row>
    <row r="2241">
      <c r="D2241" s="29"/>
    </row>
    <row r="2242">
      <c r="D2242" s="29"/>
    </row>
    <row r="2243">
      <c r="D2243" s="29"/>
    </row>
    <row r="2244">
      <c r="D2244" s="29"/>
    </row>
    <row r="2245">
      <c r="D2245" s="29"/>
    </row>
    <row r="2246">
      <c r="D2246" s="29"/>
    </row>
    <row r="2247">
      <c r="D2247" s="29"/>
    </row>
    <row r="2248">
      <c r="D2248" s="29"/>
    </row>
    <row r="2249">
      <c r="D2249" s="29"/>
    </row>
    <row r="2250">
      <c r="D2250" s="29"/>
    </row>
    <row r="2251">
      <c r="D2251" s="29"/>
    </row>
    <row r="2252">
      <c r="D2252" s="29"/>
    </row>
    <row r="2253">
      <c r="D2253" s="29"/>
    </row>
    <row r="2254">
      <c r="D2254" s="29"/>
    </row>
    <row r="2255">
      <c r="D2255" s="29"/>
    </row>
    <row r="2256">
      <c r="D2256" s="29"/>
    </row>
    <row r="2257">
      <c r="D2257" s="29"/>
    </row>
    <row r="2258">
      <c r="D2258" s="29"/>
    </row>
    <row r="2259">
      <c r="D2259" s="29"/>
    </row>
    <row r="2260">
      <c r="D2260" s="29"/>
    </row>
    <row r="2261">
      <c r="D2261" s="29"/>
    </row>
    <row r="2262">
      <c r="D2262" s="29"/>
    </row>
    <row r="2263">
      <c r="D2263" s="29"/>
    </row>
    <row r="2264">
      <c r="D2264" s="29"/>
    </row>
    <row r="2265">
      <c r="D2265" s="29"/>
    </row>
    <row r="2266">
      <c r="D2266" s="29"/>
    </row>
    <row r="2267">
      <c r="D2267" s="29"/>
    </row>
    <row r="2268">
      <c r="D2268" s="29"/>
    </row>
    <row r="2269">
      <c r="D2269" s="29"/>
    </row>
    <row r="2270">
      <c r="D2270" s="29"/>
    </row>
    <row r="2271">
      <c r="D2271" s="29"/>
    </row>
    <row r="2272">
      <c r="D2272" s="29"/>
    </row>
    <row r="2273">
      <c r="D2273" s="29"/>
    </row>
    <row r="2274">
      <c r="D2274" s="29"/>
    </row>
    <row r="2275">
      <c r="D2275" s="29"/>
    </row>
    <row r="2276">
      <c r="D2276" s="29"/>
    </row>
    <row r="2277">
      <c r="D2277" s="29"/>
    </row>
    <row r="2278">
      <c r="D2278" s="29"/>
    </row>
    <row r="2279">
      <c r="D2279" s="29"/>
    </row>
    <row r="2280">
      <c r="D2280" s="29"/>
    </row>
    <row r="2281">
      <c r="D2281" s="29"/>
    </row>
    <row r="2282">
      <c r="D2282" s="29"/>
    </row>
    <row r="2283">
      <c r="D2283" s="29"/>
    </row>
    <row r="2284">
      <c r="D2284" s="29"/>
    </row>
    <row r="2285">
      <c r="D2285" s="29"/>
    </row>
    <row r="2286">
      <c r="D2286" s="29"/>
    </row>
    <row r="2287">
      <c r="D2287" s="29"/>
    </row>
    <row r="2288">
      <c r="D2288" s="29"/>
    </row>
    <row r="2289">
      <c r="D2289" s="29"/>
    </row>
    <row r="2290">
      <c r="D2290" s="29"/>
    </row>
    <row r="2291">
      <c r="D2291" s="29"/>
    </row>
    <row r="2292">
      <c r="D2292" s="29"/>
    </row>
    <row r="2293">
      <c r="D2293" s="29"/>
    </row>
    <row r="2294">
      <c r="D2294" s="29"/>
    </row>
    <row r="2295">
      <c r="D2295" s="29"/>
    </row>
    <row r="2296">
      <c r="D2296" s="29"/>
    </row>
    <row r="2297">
      <c r="D2297" s="29"/>
    </row>
    <row r="2298">
      <c r="D2298" s="29"/>
    </row>
    <row r="2299">
      <c r="D2299" s="29"/>
    </row>
    <row r="2300">
      <c r="D2300" s="29"/>
    </row>
    <row r="2301">
      <c r="D2301" s="29"/>
    </row>
    <row r="2302">
      <c r="D2302" s="29"/>
    </row>
    <row r="2303">
      <c r="D2303" s="29"/>
    </row>
    <row r="2304">
      <c r="D2304" s="29"/>
    </row>
    <row r="2305">
      <c r="D2305" s="29"/>
    </row>
    <row r="2306">
      <c r="D2306" s="29"/>
    </row>
    <row r="2307">
      <c r="D2307" s="29"/>
    </row>
    <row r="2308">
      <c r="D2308" s="29"/>
    </row>
    <row r="2309">
      <c r="D2309" s="29"/>
    </row>
    <row r="2310">
      <c r="D2310" s="29"/>
    </row>
    <row r="2311">
      <c r="D2311" s="29"/>
    </row>
    <row r="2312">
      <c r="D2312" s="29"/>
    </row>
    <row r="2313">
      <c r="D2313" s="29"/>
    </row>
    <row r="2314">
      <c r="D2314" s="29"/>
    </row>
    <row r="2315">
      <c r="D2315" s="29"/>
    </row>
    <row r="2316">
      <c r="D2316" s="29"/>
    </row>
    <row r="2317">
      <c r="D2317" s="29"/>
    </row>
    <row r="2318">
      <c r="D2318" s="29"/>
    </row>
    <row r="2319">
      <c r="D2319" s="29"/>
    </row>
    <row r="2320">
      <c r="D2320" s="29"/>
    </row>
    <row r="2321">
      <c r="D2321" s="29"/>
    </row>
    <row r="2322">
      <c r="D2322" s="29"/>
    </row>
    <row r="2323">
      <c r="D2323" s="29"/>
    </row>
    <row r="2324">
      <c r="D2324" s="29"/>
    </row>
    <row r="2325">
      <c r="D2325" s="29"/>
    </row>
    <row r="2326">
      <c r="D2326" s="29"/>
    </row>
    <row r="2327">
      <c r="D2327" s="29"/>
    </row>
    <row r="2328">
      <c r="D2328" s="29"/>
    </row>
    <row r="2329">
      <c r="D2329" s="29"/>
    </row>
    <row r="2330">
      <c r="D2330" s="29"/>
    </row>
    <row r="2331">
      <c r="D2331" s="29"/>
    </row>
    <row r="2332">
      <c r="D2332" s="29"/>
    </row>
    <row r="2333">
      <c r="D2333" s="29"/>
    </row>
    <row r="2334">
      <c r="D2334" s="29"/>
    </row>
    <row r="2335">
      <c r="D2335" s="29"/>
    </row>
    <row r="2336">
      <c r="D2336" s="29"/>
    </row>
    <row r="2337">
      <c r="D2337" s="29"/>
    </row>
    <row r="2338">
      <c r="D2338" s="29"/>
    </row>
    <row r="2339">
      <c r="D2339" s="29"/>
    </row>
    <row r="2340">
      <c r="D2340" s="29"/>
    </row>
    <row r="2341">
      <c r="D2341" s="29"/>
    </row>
    <row r="2342">
      <c r="D2342" s="29"/>
    </row>
    <row r="2343">
      <c r="D2343" s="29"/>
    </row>
    <row r="2344">
      <c r="D2344" s="29"/>
    </row>
    <row r="2345">
      <c r="D2345" s="29"/>
    </row>
    <row r="2346">
      <c r="D2346" s="29"/>
    </row>
    <row r="2347">
      <c r="D2347" s="29"/>
    </row>
    <row r="2348">
      <c r="D2348" s="29"/>
    </row>
    <row r="2349">
      <c r="D2349" s="29"/>
    </row>
    <row r="2350">
      <c r="D2350" s="29"/>
    </row>
    <row r="2351">
      <c r="D2351" s="29"/>
    </row>
    <row r="2352">
      <c r="D2352" s="29"/>
    </row>
    <row r="2353">
      <c r="D2353" s="29"/>
    </row>
    <row r="2354">
      <c r="D2354" s="29"/>
    </row>
    <row r="2355">
      <c r="D2355" s="29"/>
    </row>
    <row r="2356">
      <c r="D2356" s="29"/>
    </row>
    <row r="2357">
      <c r="D2357" s="29"/>
    </row>
    <row r="2358">
      <c r="D2358" s="29"/>
    </row>
    <row r="2359">
      <c r="D2359" s="29"/>
    </row>
    <row r="2360">
      <c r="D2360" s="29"/>
    </row>
    <row r="2361">
      <c r="D2361" s="29"/>
    </row>
    <row r="2362">
      <c r="D2362" s="29"/>
    </row>
    <row r="2363">
      <c r="D2363" s="29"/>
    </row>
    <row r="2364">
      <c r="D2364" s="29"/>
    </row>
    <row r="2365">
      <c r="D2365" s="29"/>
    </row>
    <row r="2366">
      <c r="D2366" s="29"/>
    </row>
    <row r="2367">
      <c r="D2367" s="29"/>
    </row>
    <row r="2368">
      <c r="D2368" s="29"/>
    </row>
    <row r="2369">
      <c r="D2369" s="29"/>
    </row>
    <row r="2370">
      <c r="D2370" s="29"/>
    </row>
    <row r="2371">
      <c r="D2371" s="29"/>
    </row>
    <row r="2372">
      <c r="D2372" s="29"/>
    </row>
    <row r="2373">
      <c r="D2373" s="29"/>
    </row>
    <row r="2374">
      <c r="D2374" s="29"/>
    </row>
    <row r="2375">
      <c r="D2375" s="29"/>
    </row>
    <row r="2376">
      <c r="D2376" s="29"/>
    </row>
    <row r="2377">
      <c r="D2377" s="29"/>
    </row>
    <row r="2378">
      <c r="D2378" s="29"/>
    </row>
    <row r="2379">
      <c r="D2379" s="29"/>
    </row>
    <row r="2380">
      <c r="D2380" s="29"/>
    </row>
    <row r="2381">
      <c r="D2381" s="29"/>
    </row>
    <row r="2382">
      <c r="D2382" s="29"/>
    </row>
    <row r="2383">
      <c r="D2383" s="29"/>
    </row>
    <row r="2384">
      <c r="D2384" s="29"/>
    </row>
    <row r="2385">
      <c r="D2385" s="29"/>
    </row>
    <row r="2386">
      <c r="D2386" s="29"/>
    </row>
    <row r="2387">
      <c r="D2387" s="29"/>
    </row>
    <row r="2388">
      <c r="D2388" s="29"/>
    </row>
    <row r="2389">
      <c r="D2389" s="29"/>
    </row>
    <row r="2390">
      <c r="D2390" s="29"/>
    </row>
    <row r="2391">
      <c r="D2391" s="29"/>
    </row>
    <row r="2392">
      <c r="D2392" s="29"/>
    </row>
    <row r="2393">
      <c r="D2393" s="29"/>
    </row>
    <row r="2394">
      <c r="D2394" s="29"/>
    </row>
    <row r="2395">
      <c r="D2395" s="29"/>
    </row>
    <row r="2396">
      <c r="D2396" s="29"/>
    </row>
    <row r="2397">
      <c r="D2397" s="29"/>
    </row>
    <row r="2398">
      <c r="D2398" s="29"/>
    </row>
    <row r="2399">
      <c r="D2399" s="29"/>
    </row>
    <row r="2400">
      <c r="D2400" s="29"/>
    </row>
    <row r="2401">
      <c r="D2401" s="29"/>
    </row>
    <row r="2402">
      <c r="D2402" s="29"/>
    </row>
    <row r="2403">
      <c r="D2403" s="29"/>
    </row>
    <row r="2404">
      <c r="D2404" s="29"/>
    </row>
    <row r="2405">
      <c r="D2405" s="29"/>
    </row>
    <row r="2406">
      <c r="D2406" s="29"/>
    </row>
    <row r="2407">
      <c r="D2407" s="29"/>
    </row>
    <row r="2408">
      <c r="D2408" s="29"/>
    </row>
    <row r="2409">
      <c r="D2409" s="29"/>
    </row>
    <row r="2410">
      <c r="D2410" s="29"/>
    </row>
    <row r="2411">
      <c r="D2411" s="29"/>
    </row>
    <row r="2412">
      <c r="D2412" s="29"/>
    </row>
    <row r="2413">
      <c r="D2413" s="29"/>
    </row>
    <row r="2414">
      <c r="D2414" s="29"/>
    </row>
    <row r="2415">
      <c r="D2415" s="29"/>
    </row>
    <row r="2416">
      <c r="D2416" s="29"/>
    </row>
    <row r="2417">
      <c r="D2417" s="29"/>
    </row>
    <row r="2418">
      <c r="D2418" s="29"/>
    </row>
    <row r="2419">
      <c r="D2419" s="29"/>
    </row>
    <row r="2420">
      <c r="D2420" s="29"/>
    </row>
    <row r="2421">
      <c r="D2421" s="29"/>
    </row>
    <row r="2422">
      <c r="D2422" s="29"/>
    </row>
    <row r="2423">
      <c r="D2423" s="29"/>
    </row>
    <row r="2424">
      <c r="D2424" s="29"/>
    </row>
    <row r="2425">
      <c r="D2425" s="29"/>
    </row>
    <row r="2426">
      <c r="D2426" s="29"/>
    </row>
    <row r="2427">
      <c r="D2427" s="29"/>
    </row>
    <row r="2428">
      <c r="D2428" s="29"/>
    </row>
    <row r="2429">
      <c r="D2429" s="29"/>
    </row>
    <row r="2430">
      <c r="D2430" s="29"/>
    </row>
    <row r="2431">
      <c r="D2431" s="29"/>
    </row>
    <row r="2432">
      <c r="D2432" s="29"/>
    </row>
    <row r="2433">
      <c r="D2433" s="29"/>
    </row>
    <row r="2434">
      <c r="D2434" s="29"/>
    </row>
    <row r="2435">
      <c r="D2435" s="29"/>
    </row>
    <row r="2436">
      <c r="D2436" s="29"/>
    </row>
    <row r="2437">
      <c r="D2437" s="29"/>
    </row>
    <row r="2438">
      <c r="D2438" s="29"/>
    </row>
    <row r="2439">
      <c r="D2439" s="29"/>
    </row>
    <row r="2440">
      <c r="D2440" s="29"/>
    </row>
    <row r="2441">
      <c r="D2441" s="29"/>
    </row>
    <row r="2442">
      <c r="D2442" s="29"/>
    </row>
    <row r="2443">
      <c r="D2443" s="29"/>
    </row>
    <row r="2444">
      <c r="D2444" s="29"/>
    </row>
    <row r="2445">
      <c r="D2445" s="29"/>
    </row>
    <row r="2446">
      <c r="D2446" s="29"/>
    </row>
    <row r="2447">
      <c r="D2447" s="29"/>
    </row>
    <row r="2448">
      <c r="D2448" s="29"/>
    </row>
    <row r="2449">
      <c r="D2449" s="29"/>
    </row>
    <row r="2450">
      <c r="D2450" s="29"/>
    </row>
    <row r="2451">
      <c r="D2451" s="29"/>
    </row>
    <row r="2452">
      <c r="D2452" s="29"/>
    </row>
    <row r="2453">
      <c r="D2453" s="29"/>
    </row>
    <row r="2454">
      <c r="D2454" s="29"/>
    </row>
    <row r="2455">
      <c r="D2455" s="29"/>
    </row>
    <row r="2456">
      <c r="D2456" s="29"/>
    </row>
    <row r="2457">
      <c r="D2457" s="29"/>
    </row>
    <row r="2458">
      <c r="D2458" s="29"/>
    </row>
    <row r="2459">
      <c r="D2459" s="29"/>
    </row>
    <row r="2460">
      <c r="D2460" s="29"/>
    </row>
    <row r="2461">
      <c r="D2461" s="29"/>
    </row>
    <row r="2462">
      <c r="D2462" s="29"/>
    </row>
    <row r="2463">
      <c r="D2463" s="29"/>
    </row>
    <row r="2464">
      <c r="D2464" s="29"/>
    </row>
    <row r="2465">
      <c r="D2465" s="29"/>
    </row>
    <row r="2466">
      <c r="D2466" s="29"/>
    </row>
    <row r="2467">
      <c r="D2467" s="29"/>
    </row>
    <row r="2468">
      <c r="D2468" s="29"/>
    </row>
    <row r="2469">
      <c r="D2469" s="29"/>
    </row>
    <row r="2470">
      <c r="D2470" s="29"/>
    </row>
    <row r="2471">
      <c r="D2471" s="29"/>
    </row>
    <row r="2472">
      <c r="D2472" s="29"/>
    </row>
    <row r="2473">
      <c r="D2473" s="29"/>
    </row>
    <row r="2474">
      <c r="D2474" s="29"/>
    </row>
    <row r="2475">
      <c r="D2475" s="29"/>
    </row>
    <row r="2476">
      <c r="D2476" s="29"/>
    </row>
    <row r="2477">
      <c r="D2477" s="29"/>
    </row>
    <row r="2478">
      <c r="D2478" s="29"/>
    </row>
    <row r="2479">
      <c r="D2479" s="29"/>
    </row>
    <row r="2480">
      <c r="D2480" s="29"/>
    </row>
    <row r="2481">
      <c r="D2481" s="29"/>
    </row>
    <row r="2482">
      <c r="D2482" s="29"/>
    </row>
    <row r="2483">
      <c r="D2483" s="29"/>
    </row>
    <row r="2484">
      <c r="D2484" s="29"/>
    </row>
    <row r="2485">
      <c r="D2485" s="29"/>
    </row>
    <row r="2486">
      <c r="D2486" s="29"/>
    </row>
    <row r="2487">
      <c r="D2487" s="29"/>
    </row>
    <row r="2488">
      <c r="D2488" s="29"/>
    </row>
    <row r="2489">
      <c r="D2489" s="29"/>
    </row>
    <row r="2490">
      <c r="D2490" s="29"/>
    </row>
    <row r="2491">
      <c r="D2491" s="29"/>
    </row>
    <row r="2492">
      <c r="D2492" s="29"/>
    </row>
    <row r="2493">
      <c r="D2493" s="29"/>
    </row>
    <row r="2494">
      <c r="D2494" s="29"/>
    </row>
    <row r="2495">
      <c r="D2495" s="29"/>
    </row>
    <row r="2496">
      <c r="D2496" s="29"/>
    </row>
    <row r="2497">
      <c r="D2497" s="29"/>
    </row>
    <row r="2498">
      <c r="D2498" s="29"/>
    </row>
    <row r="2499">
      <c r="D2499" s="29"/>
    </row>
    <row r="2500">
      <c r="D2500" s="29"/>
    </row>
    <row r="2501">
      <c r="D2501" s="29"/>
    </row>
    <row r="2502">
      <c r="D2502" s="29"/>
    </row>
    <row r="2503">
      <c r="D2503" s="29"/>
    </row>
    <row r="2504">
      <c r="D2504" s="29"/>
    </row>
    <row r="2505">
      <c r="D2505" s="29"/>
    </row>
    <row r="2506">
      <c r="D2506" s="29"/>
    </row>
    <row r="2507">
      <c r="D2507" s="29"/>
    </row>
    <row r="2508">
      <c r="D2508" s="29"/>
    </row>
    <row r="2509">
      <c r="D2509" s="29"/>
    </row>
    <row r="2510">
      <c r="D2510" s="29"/>
    </row>
    <row r="2511">
      <c r="D2511" s="29"/>
    </row>
    <row r="2512">
      <c r="D2512" s="29"/>
    </row>
    <row r="2513">
      <c r="D2513" s="29"/>
    </row>
    <row r="2514">
      <c r="D2514" s="29"/>
    </row>
    <row r="2515">
      <c r="D2515" s="29"/>
    </row>
    <row r="2516">
      <c r="D2516" s="29"/>
    </row>
    <row r="2517">
      <c r="D2517" s="29"/>
    </row>
    <row r="2518">
      <c r="D2518" s="29"/>
    </row>
    <row r="2519">
      <c r="D2519" s="29"/>
    </row>
    <row r="2520">
      <c r="D2520" s="29"/>
    </row>
    <row r="2521">
      <c r="D2521" s="29"/>
    </row>
    <row r="2522">
      <c r="D2522" s="29"/>
    </row>
    <row r="2523">
      <c r="D2523" s="29"/>
    </row>
    <row r="2524">
      <c r="D2524" s="29"/>
    </row>
    <row r="2525">
      <c r="D2525" s="29"/>
    </row>
    <row r="2526">
      <c r="D2526" s="29"/>
    </row>
    <row r="2527">
      <c r="D2527" s="29"/>
    </row>
    <row r="2528">
      <c r="D2528" s="29"/>
    </row>
    <row r="2529">
      <c r="D2529" s="29"/>
    </row>
    <row r="2530">
      <c r="D2530" s="29"/>
    </row>
    <row r="2531">
      <c r="D2531" s="29"/>
    </row>
    <row r="2532">
      <c r="D2532" s="29"/>
    </row>
    <row r="2533">
      <c r="D2533" s="29"/>
    </row>
    <row r="2534">
      <c r="D2534" s="29"/>
    </row>
    <row r="2535">
      <c r="D2535" s="29"/>
    </row>
    <row r="2536">
      <c r="D2536" s="29"/>
    </row>
    <row r="2537">
      <c r="D2537" s="29"/>
    </row>
    <row r="2538">
      <c r="D2538" s="29"/>
    </row>
    <row r="2539">
      <c r="D2539" s="29"/>
    </row>
    <row r="2540">
      <c r="D2540" s="29"/>
    </row>
    <row r="2541">
      <c r="D2541" s="29"/>
    </row>
    <row r="2542">
      <c r="D2542" s="29"/>
    </row>
    <row r="2543">
      <c r="D2543" s="29"/>
    </row>
    <row r="2544">
      <c r="D2544" s="29"/>
    </row>
    <row r="2545">
      <c r="D2545" s="29"/>
    </row>
    <row r="2546">
      <c r="D2546" s="29"/>
    </row>
    <row r="2547">
      <c r="D2547" s="29"/>
    </row>
    <row r="2548">
      <c r="D2548" s="29"/>
    </row>
    <row r="2549">
      <c r="D2549" s="29"/>
    </row>
    <row r="2550">
      <c r="D2550" s="29"/>
    </row>
    <row r="2551">
      <c r="D2551" s="29"/>
    </row>
    <row r="2552">
      <c r="D2552" s="29"/>
    </row>
    <row r="2553">
      <c r="D2553" s="29"/>
    </row>
    <row r="2554">
      <c r="D2554" s="29"/>
    </row>
    <row r="2555">
      <c r="D2555" s="29"/>
    </row>
    <row r="2556">
      <c r="D2556" s="29"/>
    </row>
    <row r="2557">
      <c r="D2557" s="29"/>
    </row>
    <row r="2558">
      <c r="D2558" s="29"/>
    </row>
    <row r="2559">
      <c r="D2559" s="29"/>
    </row>
    <row r="2560">
      <c r="D2560" s="29"/>
    </row>
    <row r="2561">
      <c r="D2561" s="29"/>
    </row>
    <row r="2562">
      <c r="D2562" s="29"/>
    </row>
    <row r="2563">
      <c r="D2563" s="29"/>
    </row>
    <row r="2564">
      <c r="D2564" s="29"/>
    </row>
    <row r="2565">
      <c r="D2565" s="29"/>
    </row>
    <row r="2566">
      <c r="D2566" s="29"/>
    </row>
    <row r="2567">
      <c r="D2567" s="29"/>
    </row>
    <row r="2568">
      <c r="D2568" s="29"/>
    </row>
    <row r="2569">
      <c r="D2569" s="29"/>
    </row>
    <row r="2570">
      <c r="D2570" s="29"/>
    </row>
    <row r="2571">
      <c r="D2571" s="29"/>
    </row>
    <row r="2572">
      <c r="D2572" s="29"/>
    </row>
    <row r="2573">
      <c r="D2573" s="29"/>
    </row>
    <row r="2574">
      <c r="D2574" s="29"/>
    </row>
    <row r="2575">
      <c r="D2575" s="29"/>
    </row>
    <row r="2576">
      <c r="D2576" s="29"/>
    </row>
    <row r="2577">
      <c r="D2577" s="29"/>
    </row>
    <row r="2578">
      <c r="D2578" s="29"/>
    </row>
    <row r="2579">
      <c r="D2579" s="29"/>
    </row>
    <row r="2580">
      <c r="D2580" s="29"/>
    </row>
    <row r="2581">
      <c r="D2581" s="29"/>
    </row>
    <row r="2582">
      <c r="D2582" s="29"/>
    </row>
    <row r="2583">
      <c r="D2583" s="29"/>
    </row>
    <row r="2584">
      <c r="D2584" s="29"/>
    </row>
    <row r="2585">
      <c r="D2585" s="29"/>
    </row>
    <row r="2586">
      <c r="D2586" s="29"/>
    </row>
    <row r="2587">
      <c r="D2587" s="29"/>
    </row>
    <row r="2588">
      <c r="D2588" s="29"/>
    </row>
    <row r="2589">
      <c r="D2589" s="29"/>
    </row>
    <row r="2590">
      <c r="D2590" s="29"/>
    </row>
    <row r="2591">
      <c r="D2591" s="29"/>
    </row>
    <row r="2592">
      <c r="D2592" s="29"/>
    </row>
    <row r="2593">
      <c r="D2593" s="29"/>
    </row>
    <row r="2594">
      <c r="D2594" s="29"/>
    </row>
    <row r="2595">
      <c r="D2595" s="29"/>
    </row>
    <row r="2596">
      <c r="D2596" s="29"/>
    </row>
    <row r="2597">
      <c r="D2597" s="29"/>
    </row>
    <row r="2598">
      <c r="D2598" s="29"/>
    </row>
    <row r="2599">
      <c r="D2599" s="29"/>
    </row>
    <row r="2600">
      <c r="D2600" s="29"/>
    </row>
    <row r="2601">
      <c r="D2601" s="29"/>
    </row>
    <row r="2602">
      <c r="D2602" s="29"/>
    </row>
    <row r="2603">
      <c r="D2603" s="29"/>
    </row>
    <row r="2604">
      <c r="D2604" s="29"/>
    </row>
    <row r="2605">
      <c r="D2605" s="29"/>
    </row>
    <row r="2606">
      <c r="D2606" s="29"/>
    </row>
    <row r="2607">
      <c r="D2607" s="29"/>
    </row>
    <row r="2608">
      <c r="D2608" s="29"/>
    </row>
    <row r="2609">
      <c r="D2609" s="29"/>
    </row>
    <row r="2610">
      <c r="D2610" s="29"/>
    </row>
    <row r="2611">
      <c r="D2611" s="29"/>
    </row>
    <row r="2612">
      <c r="D2612" s="29"/>
    </row>
    <row r="2613">
      <c r="D2613" s="29"/>
    </row>
    <row r="2614">
      <c r="D2614" s="29"/>
    </row>
    <row r="2615">
      <c r="D2615" s="29"/>
    </row>
    <row r="2616">
      <c r="D2616" s="29"/>
    </row>
    <row r="2617">
      <c r="D2617" s="29"/>
    </row>
    <row r="2618">
      <c r="D2618" s="29"/>
    </row>
    <row r="2619">
      <c r="D2619" s="29"/>
    </row>
    <row r="2620">
      <c r="D2620" s="29"/>
    </row>
    <row r="2621">
      <c r="D2621" s="29"/>
    </row>
    <row r="2622">
      <c r="D2622" s="29"/>
    </row>
    <row r="2623">
      <c r="D2623" s="29"/>
    </row>
    <row r="2624">
      <c r="D2624" s="29"/>
    </row>
    <row r="2625">
      <c r="D2625" s="29"/>
    </row>
    <row r="2626">
      <c r="D2626" s="29"/>
    </row>
    <row r="2627">
      <c r="D2627" s="29"/>
    </row>
    <row r="2628">
      <c r="D2628" s="29"/>
    </row>
    <row r="2629">
      <c r="D2629" s="29"/>
    </row>
    <row r="2630">
      <c r="D2630" s="29"/>
    </row>
    <row r="2631">
      <c r="D2631" s="29"/>
    </row>
    <row r="2632">
      <c r="D2632" s="29"/>
    </row>
    <row r="2633">
      <c r="D2633" s="29"/>
    </row>
    <row r="2634">
      <c r="D2634" s="29"/>
    </row>
    <row r="2635">
      <c r="D2635" s="29"/>
    </row>
    <row r="2636">
      <c r="D2636" s="29"/>
    </row>
    <row r="2637">
      <c r="D2637" s="29"/>
    </row>
    <row r="2638">
      <c r="D2638" s="29"/>
    </row>
    <row r="2639">
      <c r="D2639" s="29"/>
    </row>
    <row r="2640">
      <c r="D2640" s="29"/>
    </row>
    <row r="2641">
      <c r="D2641" s="29"/>
    </row>
    <row r="2642">
      <c r="D2642" s="29"/>
    </row>
    <row r="2643">
      <c r="D2643" s="29"/>
    </row>
    <row r="2644">
      <c r="D2644" s="29"/>
    </row>
    <row r="2645">
      <c r="D2645" s="29"/>
    </row>
    <row r="2646">
      <c r="D2646" s="29"/>
    </row>
    <row r="2647">
      <c r="D2647" s="29"/>
    </row>
    <row r="2648">
      <c r="D2648" s="29"/>
    </row>
    <row r="2649">
      <c r="D2649" s="29"/>
    </row>
    <row r="2650">
      <c r="D2650" s="29"/>
    </row>
    <row r="2651">
      <c r="D2651" s="29"/>
    </row>
    <row r="2652">
      <c r="D2652" s="29"/>
    </row>
    <row r="2653">
      <c r="D2653" s="29"/>
    </row>
    <row r="2654">
      <c r="D2654" s="29"/>
    </row>
    <row r="2655">
      <c r="D2655" s="29"/>
    </row>
    <row r="2656">
      <c r="D2656" s="29"/>
    </row>
    <row r="2657">
      <c r="D2657" s="29"/>
    </row>
    <row r="2658">
      <c r="D2658" s="29"/>
    </row>
    <row r="2659">
      <c r="D2659" s="29"/>
    </row>
    <row r="2660">
      <c r="D2660" s="29"/>
    </row>
    <row r="2661">
      <c r="D2661" s="29"/>
    </row>
    <row r="2662">
      <c r="D2662" s="29"/>
    </row>
    <row r="2663">
      <c r="D2663" s="29"/>
    </row>
    <row r="2664">
      <c r="D2664" s="29"/>
    </row>
    <row r="2665">
      <c r="D2665" s="29"/>
    </row>
    <row r="2666">
      <c r="D2666" s="29"/>
    </row>
    <row r="2667">
      <c r="D2667" s="29"/>
    </row>
    <row r="2668">
      <c r="D2668" s="29"/>
    </row>
    <row r="2669">
      <c r="D2669" s="29"/>
    </row>
    <row r="2670">
      <c r="D2670" s="29"/>
    </row>
    <row r="2671">
      <c r="D2671" s="29"/>
    </row>
    <row r="2672">
      <c r="D2672" s="29"/>
    </row>
    <row r="2673">
      <c r="D2673" s="29"/>
    </row>
    <row r="2674">
      <c r="D2674" s="29"/>
    </row>
    <row r="2675">
      <c r="D2675" s="29"/>
    </row>
    <row r="2676">
      <c r="D2676" s="29"/>
    </row>
    <row r="2677">
      <c r="D2677" s="29"/>
    </row>
    <row r="2678">
      <c r="D2678" s="29"/>
    </row>
    <row r="2679">
      <c r="D2679" s="29"/>
    </row>
    <row r="2680">
      <c r="D2680" s="29"/>
    </row>
    <row r="2681">
      <c r="D2681" s="29"/>
    </row>
    <row r="2682">
      <c r="D2682" s="29"/>
    </row>
    <row r="2683">
      <c r="D2683" s="29"/>
    </row>
    <row r="2684">
      <c r="D2684" s="29"/>
    </row>
    <row r="2685">
      <c r="D2685" s="29"/>
    </row>
    <row r="2686">
      <c r="D2686" s="29"/>
    </row>
    <row r="2687">
      <c r="D2687" s="29"/>
    </row>
    <row r="2688">
      <c r="D2688" s="29"/>
    </row>
    <row r="2689">
      <c r="D2689" s="29"/>
    </row>
    <row r="2690">
      <c r="D2690" s="29"/>
    </row>
    <row r="2691">
      <c r="D2691" s="29"/>
    </row>
    <row r="2692">
      <c r="D2692" s="29"/>
    </row>
    <row r="2693">
      <c r="D2693" s="29"/>
    </row>
    <row r="2694">
      <c r="D2694" s="29"/>
    </row>
    <row r="2695">
      <c r="D2695" s="29"/>
    </row>
    <row r="2696">
      <c r="D2696" s="29"/>
    </row>
    <row r="2697">
      <c r="D2697" s="29"/>
    </row>
    <row r="2698">
      <c r="D2698" s="29"/>
    </row>
    <row r="2699">
      <c r="D2699" s="29"/>
    </row>
    <row r="2700">
      <c r="D2700" s="29"/>
    </row>
    <row r="2701">
      <c r="D2701" s="29"/>
    </row>
    <row r="2702">
      <c r="D2702" s="29"/>
    </row>
    <row r="2703">
      <c r="D2703" s="29"/>
    </row>
    <row r="2704">
      <c r="D2704" s="29"/>
    </row>
    <row r="2705">
      <c r="D2705" s="29"/>
    </row>
    <row r="2706">
      <c r="D2706" s="29"/>
    </row>
    <row r="2707">
      <c r="D2707" s="29"/>
    </row>
    <row r="2708">
      <c r="D2708" s="29"/>
    </row>
    <row r="2709">
      <c r="D2709" s="29"/>
    </row>
    <row r="2710">
      <c r="D2710" s="29"/>
    </row>
    <row r="2711">
      <c r="D2711" s="29"/>
    </row>
    <row r="2712">
      <c r="D2712" s="29"/>
    </row>
    <row r="2713">
      <c r="D2713" s="29"/>
    </row>
    <row r="2714">
      <c r="D2714" s="29"/>
    </row>
    <row r="2715">
      <c r="D2715" s="29"/>
    </row>
    <row r="2716">
      <c r="D2716" s="29"/>
    </row>
    <row r="2717">
      <c r="D2717" s="29"/>
    </row>
    <row r="2718">
      <c r="D2718" s="29"/>
    </row>
    <row r="2719">
      <c r="D2719" s="29"/>
    </row>
    <row r="2720">
      <c r="D2720" s="29"/>
    </row>
    <row r="2721">
      <c r="D2721" s="29"/>
    </row>
    <row r="2722">
      <c r="D2722" s="29"/>
    </row>
    <row r="2723">
      <c r="D2723" s="29"/>
    </row>
    <row r="2724">
      <c r="D2724" s="29"/>
    </row>
    <row r="2725">
      <c r="D2725" s="29"/>
    </row>
    <row r="2726">
      <c r="D2726" s="29"/>
    </row>
    <row r="2727">
      <c r="D2727" s="29"/>
    </row>
    <row r="2728">
      <c r="D2728" s="29"/>
    </row>
    <row r="2729">
      <c r="D2729" s="29"/>
    </row>
    <row r="2730">
      <c r="D2730" s="29"/>
    </row>
    <row r="2731">
      <c r="D2731" s="29"/>
    </row>
    <row r="2732">
      <c r="D2732" s="29"/>
    </row>
    <row r="2733">
      <c r="D2733" s="29"/>
    </row>
    <row r="2734">
      <c r="D2734" s="29"/>
    </row>
    <row r="2735">
      <c r="D2735" s="29"/>
    </row>
    <row r="2736">
      <c r="D2736" s="29"/>
    </row>
    <row r="2737">
      <c r="D2737" s="29"/>
    </row>
    <row r="2738">
      <c r="D2738" s="29"/>
    </row>
    <row r="2739">
      <c r="D2739" s="29"/>
    </row>
    <row r="2740">
      <c r="D2740" s="29"/>
    </row>
    <row r="2741">
      <c r="D2741" s="29"/>
    </row>
    <row r="2742">
      <c r="D2742" s="29"/>
    </row>
    <row r="2743">
      <c r="D2743" s="29"/>
    </row>
    <row r="2744">
      <c r="D2744" s="29"/>
    </row>
    <row r="2745">
      <c r="D2745" s="29"/>
    </row>
    <row r="2746">
      <c r="D2746" s="29"/>
    </row>
    <row r="2747">
      <c r="D2747" s="29"/>
    </row>
    <row r="2748">
      <c r="D2748" s="29"/>
    </row>
    <row r="2749">
      <c r="D2749" s="29"/>
    </row>
    <row r="2750">
      <c r="D2750" s="29"/>
    </row>
    <row r="2751">
      <c r="D2751" s="29"/>
    </row>
    <row r="2752">
      <c r="D2752" s="29"/>
    </row>
    <row r="2753">
      <c r="D2753" s="29"/>
    </row>
    <row r="2754">
      <c r="D2754" s="29"/>
    </row>
    <row r="2755">
      <c r="D2755" s="29"/>
    </row>
    <row r="2756">
      <c r="D2756" s="29"/>
    </row>
    <row r="2757">
      <c r="D2757" s="29"/>
    </row>
    <row r="2758">
      <c r="D2758" s="29"/>
    </row>
    <row r="2759">
      <c r="D2759" s="29"/>
    </row>
    <row r="2760">
      <c r="D2760" s="29"/>
    </row>
    <row r="2761">
      <c r="D2761" s="29"/>
    </row>
    <row r="2762">
      <c r="D2762" s="29"/>
    </row>
    <row r="2763">
      <c r="D2763" s="29"/>
    </row>
    <row r="2764">
      <c r="D2764" s="29"/>
    </row>
    <row r="2765">
      <c r="D2765" s="29"/>
    </row>
    <row r="2766">
      <c r="D2766" s="29"/>
    </row>
    <row r="2767">
      <c r="D2767" s="29"/>
    </row>
    <row r="2768">
      <c r="D2768" s="29"/>
    </row>
    <row r="2769">
      <c r="D2769" s="29"/>
    </row>
    <row r="2770">
      <c r="D2770" s="29"/>
    </row>
    <row r="2771">
      <c r="D2771" s="29"/>
    </row>
    <row r="2772">
      <c r="D2772" s="29"/>
    </row>
    <row r="2773">
      <c r="D2773" s="29"/>
    </row>
    <row r="2774">
      <c r="D2774" s="29"/>
    </row>
    <row r="2775">
      <c r="D2775" s="29"/>
    </row>
    <row r="2776">
      <c r="D2776" s="29"/>
    </row>
    <row r="2777">
      <c r="D2777" s="29"/>
    </row>
    <row r="2778">
      <c r="D2778" s="29"/>
    </row>
    <row r="2779">
      <c r="D2779" s="29"/>
    </row>
    <row r="2780">
      <c r="D2780" s="29"/>
    </row>
    <row r="2781">
      <c r="D2781" s="29"/>
    </row>
    <row r="2782">
      <c r="D2782" s="29"/>
    </row>
    <row r="2783">
      <c r="D2783" s="29"/>
    </row>
    <row r="2784">
      <c r="D2784" s="29"/>
    </row>
    <row r="2785">
      <c r="D2785" s="29"/>
    </row>
    <row r="2786">
      <c r="D2786" s="29"/>
    </row>
    <row r="2787">
      <c r="D2787" s="29"/>
    </row>
    <row r="2788">
      <c r="D2788" s="29"/>
    </row>
    <row r="2789">
      <c r="D2789" s="29"/>
    </row>
    <row r="2790">
      <c r="D2790" s="29"/>
    </row>
    <row r="2791">
      <c r="D2791" s="29"/>
    </row>
    <row r="2792">
      <c r="D2792" s="29"/>
    </row>
    <row r="2793">
      <c r="D2793" s="29"/>
    </row>
    <row r="2794">
      <c r="D2794" s="29"/>
    </row>
    <row r="2795">
      <c r="D2795" s="29"/>
    </row>
    <row r="2796">
      <c r="D2796" s="29"/>
    </row>
    <row r="2797">
      <c r="D2797" s="29"/>
    </row>
    <row r="2798">
      <c r="D2798" s="29"/>
    </row>
    <row r="2799">
      <c r="D2799" s="29"/>
    </row>
    <row r="2800">
      <c r="D2800" s="29"/>
    </row>
    <row r="2801">
      <c r="D2801" s="29"/>
    </row>
    <row r="2802">
      <c r="D2802" s="29"/>
    </row>
    <row r="2803">
      <c r="D2803" s="29"/>
    </row>
    <row r="2804">
      <c r="D2804" s="29"/>
    </row>
    <row r="2805">
      <c r="D2805" s="29"/>
    </row>
    <row r="2806">
      <c r="D2806" s="29"/>
    </row>
    <row r="2807">
      <c r="D2807" s="29"/>
    </row>
    <row r="2808">
      <c r="D2808" s="29"/>
    </row>
    <row r="2809">
      <c r="D2809" s="29"/>
    </row>
    <row r="2810">
      <c r="D2810" s="29"/>
    </row>
    <row r="2811">
      <c r="D2811" s="29"/>
    </row>
    <row r="2812">
      <c r="D2812" s="29"/>
    </row>
    <row r="2813">
      <c r="D2813" s="29"/>
    </row>
    <row r="2814">
      <c r="D2814" s="29"/>
    </row>
    <row r="2815">
      <c r="D2815" s="29"/>
    </row>
    <row r="2816">
      <c r="D2816" s="29"/>
    </row>
    <row r="2817">
      <c r="D2817" s="29"/>
    </row>
    <row r="2818">
      <c r="D2818" s="29"/>
    </row>
    <row r="2819">
      <c r="D2819" s="29"/>
    </row>
    <row r="2820">
      <c r="D2820" s="29"/>
    </row>
    <row r="2821">
      <c r="D2821" s="29"/>
    </row>
    <row r="2822">
      <c r="D2822" s="29"/>
    </row>
    <row r="2823">
      <c r="D2823" s="29"/>
    </row>
    <row r="2824">
      <c r="D2824" s="29"/>
    </row>
    <row r="2825">
      <c r="D2825" s="29"/>
    </row>
    <row r="2826">
      <c r="D2826" s="29"/>
    </row>
    <row r="2827">
      <c r="D2827" s="29"/>
    </row>
    <row r="2828">
      <c r="D2828" s="29"/>
    </row>
    <row r="2829">
      <c r="D2829" s="29"/>
    </row>
    <row r="2830">
      <c r="D2830" s="29"/>
    </row>
    <row r="2831">
      <c r="D2831" s="29"/>
    </row>
    <row r="2832">
      <c r="D2832" s="29"/>
    </row>
    <row r="2833">
      <c r="D2833" s="29"/>
    </row>
    <row r="2834">
      <c r="D2834" s="29"/>
    </row>
    <row r="2835">
      <c r="D2835" s="29"/>
    </row>
    <row r="2836">
      <c r="D2836" s="29"/>
    </row>
    <row r="2837">
      <c r="D2837" s="29"/>
    </row>
    <row r="2838">
      <c r="D2838" s="29"/>
    </row>
    <row r="2839">
      <c r="D2839" s="29"/>
    </row>
    <row r="2840">
      <c r="D2840" s="29"/>
    </row>
    <row r="2841">
      <c r="D2841" s="29"/>
    </row>
    <row r="2842">
      <c r="D2842" s="29"/>
    </row>
    <row r="2843">
      <c r="D2843" s="29"/>
    </row>
    <row r="2844">
      <c r="D2844" s="29"/>
    </row>
    <row r="2845">
      <c r="D2845" s="29"/>
    </row>
    <row r="2846">
      <c r="D2846" s="29"/>
    </row>
    <row r="2847">
      <c r="D2847" s="29"/>
    </row>
    <row r="2848">
      <c r="D2848" s="29"/>
    </row>
    <row r="2849">
      <c r="D2849" s="29"/>
    </row>
    <row r="2850">
      <c r="D2850" s="29"/>
    </row>
    <row r="2851">
      <c r="D2851" s="29"/>
    </row>
    <row r="2852">
      <c r="D2852" s="29"/>
    </row>
    <row r="2853">
      <c r="D2853" s="29"/>
    </row>
    <row r="2854">
      <c r="D2854" s="29"/>
    </row>
    <row r="2855">
      <c r="D2855" s="29"/>
    </row>
    <row r="2856">
      <c r="D2856" s="29"/>
    </row>
    <row r="2857">
      <c r="D2857" s="29"/>
    </row>
    <row r="2858">
      <c r="D2858" s="29"/>
    </row>
    <row r="2859">
      <c r="D2859" s="29"/>
    </row>
    <row r="2860">
      <c r="D2860" s="29"/>
    </row>
    <row r="2861">
      <c r="D2861" s="29"/>
    </row>
    <row r="2862">
      <c r="D2862" s="29"/>
    </row>
    <row r="2863">
      <c r="D2863" s="29"/>
    </row>
    <row r="2864">
      <c r="D2864" s="29"/>
    </row>
    <row r="2865">
      <c r="D2865" s="29"/>
    </row>
    <row r="2866">
      <c r="D2866" s="29"/>
    </row>
    <row r="2867">
      <c r="D2867" s="29"/>
    </row>
    <row r="2868">
      <c r="D2868" s="29"/>
    </row>
    <row r="2869">
      <c r="D2869" s="29"/>
    </row>
    <row r="2870">
      <c r="D2870" s="29"/>
    </row>
    <row r="2871">
      <c r="D2871" s="29"/>
    </row>
    <row r="2872">
      <c r="D2872" s="29"/>
    </row>
    <row r="2873">
      <c r="D2873" s="29"/>
    </row>
    <row r="2874">
      <c r="D2874" s="29"/>
    </row>
    <row r="2875">
      <c r="D2875" s="29"/>
    </row>
    <row r="2876">
      <c r="D2876" s="29"/>
    </row>
    <row r="2877">
      <c r="D2877" s="29"/>
    </row>
    <row r="2878">
      <c r="D2878" s="29"/>
    </row>
    <row r="2879">
      <c r="D2879" s="29"/>
    </row>
    <row r="2880">
      <c r="D2880" s="29"/>
    </row>
    <row r="2881">
      <c r="D2881" s="29"/>
    </row>
    <row r="2882">
      <c r="D2882" s="29"/>
    </row>
    <row r="2883">
      <c r="D2883" s="29"/>
    </row>
    <row r="2884">
      <c r="D2884" s="29"/>
    </row>
    <row r="2885">
      <c r="D2885" s="29"/>
    </row>
    <row r="2886">
      <c r="D2886" s="29"/>
    </row>
    <row r="2887">
      <c r="D2887" s="29"/>
    </row>
    <row r="2888">
      <c r="D2888" s="29"/>
    </row>
    <row r="2889">
      <c r="D2889" s="29"/>
    </row>
    <row r="2890">
      <c r="D2890" s="29"/>
    </row>
    <row r="2891">
      <c r="D2891" s="29"/>
    </row>
    <row r="2892">
      <c r="D2892" s="29"/>
    </row>
    <row r="2893">
      <c r="D2893" s="29"/>
    </row>
    <row r="2894">
      <c r="D2894" s="29"/>
    </row>
    <row r="2895">
      <c r="D2895" s="29"/>
    </row>
    <row r="2896">
      <c r="D2896" s="29"/>
    </row>
    <row r="2897">
      <c r="D2897" s="29"/>
    </row>
    <row r="2898">
      <c r="D2898" s="29"/>
    </row>
    <row r="2899">
      <c r="D2899" s="29"/>
    </row>
    <row r="2900">
      <c r="D2900" s="29"/>
    </row>
    <row r="2901">
      <c r="D2901" s="29"/>
    </row>
    <row r="2902">
      <c r="D2902" s="29"/>
    </row>
    <row r="2903">
      <c r="D2903" s="29"/>
    </row>
    <row r="2904">
      <c r="D2904" s="29"/>
    </row>
    <row r="2905">
      <c r="D2905" s="29"/>
    </row>
    <row r="2906">
      <c r="D2906" s="29"/>
    </row>
    <row r="2907">
      <c r="D2907" s="29"/>
    </row>
    <row r="2908">
      <c r="D2908" s="29"/>
    </row>
    <row r="2909">
      <c r="D2909" s="29"/>
    </row>
    <row r="2910">
      <c r="D2910" s="29"/>
    </row>
    <row r="2911">
      <c r="D2911" s="29"/>
    </row>
    <row r="2912">
      <c r="D2912" s="29"/>
    </row>
    <row r="2913">
      <c r="D2913" s="29"/>
    </row>
    <row r="2914">
      <c r="D2914" s="29"/>
    </row>
    <row r="2915">
      <c r="D2915" s="29"/>
    </row>
    <row r="2916">
      <c r="D2916" s="29"/>
    </row>
    <row r="2917">
      <c r="D2917" s="29"/>
    </row>
    <row r="2918">
      <c r="D2918" s="29"/>
    </row>
    <row r="2919">
      <c r="D2919" s="29"/>
    </row>
    <row r="2920">
      <c r="D2920" s="29"/>
    </row>
    <row r="2921">
      <c r="D2921" s="29"/>
    </row>
    <row r="2922">
      <c r="D2922" s="29"/>
    </row>
    <row r="2923">
      <c r="D2923" s="29"/>
    </row>
    <row r="2924">
      <c r="D2924" s="29"/>
    </row>
    <row r="2925">
      <c r="D2925" s="29"/>
    </row>
    <row r="2926">
      <c r="D2926" s="29"/>
    </row>
    <row r="2927">
      <c r="D2927" s="29"/>
    </row>
    <row r="2928">
      <c r="D2928" s="29"/>
    </row>
    <row r="2929">
      <c r="D2929" s="29"/>
    </row>
    <row r="2930">
      <c r="D2930" s="29"/>
    </row>
    <row r="2931">
      <c r="D2931" s="29"/>
    </row>
    <row r="2932">
      <c r="D2932" s="29"/>
    </row>
    <row r="2933">
      <c r="D2933" s="29"/>
    </row>
    <row r="2934">
      <c r="D2934" s="29"/>
    </row>
    <row r="2935">
      <c r="D2935" s="29"/>
    </row>
    <row r="2936">
      <c r="D2936" s="29"/>
    </row>
    <row r="2937">
      <c r="D2937" s="29"/>
    </row>
    <row r="2938">
      <c r="D2938" s="29"/>
    </row>
    <row r="2939">
      <c r="D2939" s="29"/>
    </row>
    <row r="2940">
      <c r="D2940" s="29"/>
    </row>
    <row r="2941">
      <c r="D2941" s="29"/>
    </row>
    <row r="2942">
      <c r="D2942" s="29"/>
    </row>
    <row r="2943">
      <c r="D2943" s="29"/>
    </row>
    <row r="2944">
      <c r="D2944" s="29"/>
    </row>
    <row r="2945">
      <c r="D2945" s="29"/>
    </row>
    <row r="2946">
      <c r="D2946" s="29"/>
    </row>
    <row r="2947">
      <c r="D2947" s="29"/>
    </row>
    <row r="2948">
      <c r="D2948" s="29"/>
    </row>
    <row r="2949">
      <c r="D2949" s="29"/>
    </row>
    <row r="2950">
      <c r="D2950" s="29"/>
    </row>
    <row r="2951">
      <c r="D2951" s="29"/>
    </row>
    <row r="2952">
      <c r="D2952" s="29"/>
    </row>
    <row r="2953">
      <c r="D2953" s="29"/>
    </row>
    <row r="2954">
      <c r="D2954" s="29"/>
    </row>
    <row r="2955">
      <c r="D2955" s="29"/>
    </row>
    <row r="2956">
      <c r="D2956" s="29"/>
    </row>
    <row r="2957">
      <c r="D2957" s="29"/>
    </row>
    <row r="2958">
      <c r="D2958" s="29"/>
    </row>
    <row r="2959">
      <c r="D2959" s="29"/>
    </row>
    <row r="2960">
      <c r="D2960" s="29"/>
    </row>
    <row r="2961">
      <c r="D2961" s="29"/>
    </row>
    <row r="2962">
      <c r="D2962" s="29"/>
    </row>
    <row r="2963">
      <c r="D2963" s="29"/>
    </row>
    <row r="2964">
      <c r="D2964" s="29"/>
    </row>
    <row r="2965">
      <c r="D2965" s="29"/>
    </row>
    <row r="2966">
      <c r="D2966" s="29"/>
    </row>
    <row r="2967">
      <c r="D2967" s="29"/>
    </row>
    <row r="2968">
      <c r="D2968" s="29"/>
    </row>
    <row r="2969">
      <c r="D2969" s="29"/>
    </row>
    <row r="2970">
      <c r="D2970" s="29"/>
    </row>
    <row r="2971">
      <c r="D2971" s="29"/>
    </row>
    <row r="2972">
      <c r="D2972" s="29"/>
    </row>
    <row r="2973">
      <c r="D2973" s="29"/>
    </row>
    <row r="2974">
      <c r="D2974" s="29"/>
    </row>
    <row r="2975">
      <c r="D2975" s="29"/>
    </row>
    <row r="2976">
      <c r="D2976" s="29"/>
    </row>
    <row r="2977">
      <c r="D2977" s="29"/>
    </row>
    <row r="2978">
      <c r="D2978" s="29"/>
    </row>
    <row r="2979">
      <c r="D2979" s="29"/>
    </row>
    <row r="2980">
      <c r="D2980" s="29"/>
    </row>
    <row r="2981">
      <c r="D2981" s="29"/>
    </row>
    <row r="2982">
      <c r="D2982" s="29"/>
    </row>
    <row r="2983">
      <c r="D2983" s="29"/>
    </row>
    <row r="2984">
      <c r="D2984" s="29"/>
    </row>
    <row r="2985">
      <c r="D2985" s="29"/>
    </row>
    <row r="2986">
      <c r="D2986" s="29"/>
    </row>
    <row r="2987">
      <c r="D2987" s="29"/>
    </row>
    <row r="2988">
      <c r="D2988" s="29"/>
    </row>
    <row r="2989">
      <c r="D2989" s="29"/>
    </row>
    <row r="2990">
      <c r="D2990" s="29"/>
    </row>
    <row r="2991">
      <c r="D2991" s="29"/>
    </row>
    <row r="2992">
      <c r="D2992" s="29"/>
    </row>
    <row r="2993">
      <c r="D2993" s="29"/>
    </row>
    <row r="2994">
      <c r="D2994" s="29"/>
    </row>
    <row r="2995">
      <c r="D2995" s="29"/>
    </row>
    <row r="2996">
      <c r="D2996" s="29"/>
    </row>
    <row r="2997">
      <c r="D2997" s="29"/>
    </row>
    <row r="2998">
      <c r="D2998" s="29"/>
    </row>
    <row r="2999">
      <c r="D2999" s="29"/>
    </row>
    <row r="3000">
      <c r="D3000" s="29"/>
    </row>
    <row r="3001">
      <c r="D3001" s="29"/>
    </row>
    <row r="3002">
      <c r="D3002" s="29"/>
    </row>
    <row r="3003">
      <c r="D3003" s="29"/>
    </row>
    <row r="3004">
      <c r="D3004" s="29"/>
    </row>
    <row r="3005">
      <c r="D3005" s="29"/>
    </row>
    <row r="3006">
      <c r="D3006" s="29"/>
    </row>
    <row r="3007">
      <c r="D3007" s="29"/>
    </row>
    <row r="3008">
      <c r="D3008" s="29"/>
    </row>
    <row r="3009">
      <c r="D3009" s="29"/>
    </row>
    <row r="3010">
      <c r="D3010" s="29"/>
    </row>
    <row r="3011">
      <c r="D3011" s="29"/>
    </row>
    <row r="3012">
      <c r="D3012" s="29"/>
    </row>
    <row r="3013">
      <c r="D3013" s="29"/>
    </row>
    <row r="3014">
      <c r="D3014" s="29"/>
    </row>
    <row r="3015">
      <c r="D3015" s="29"/>
    </row>
    <row r="3016">
      <c r="D3016" s="29"/>
    </row>
    <row r="3017">
      <c r="D3017" s="29"/>
    </row>
    <row r="3018">
      <c r="D3018" s="29"/>
    </row>
    <row r="3019">
      <c r="D3019" s="29"/>
    </row>
    <row r="3020">
      <c r="D3020" s="29"/>
    </row>
    <row r="3021">
      <c r="D3021" s="29"/>
    </row>
    <row r="3022">
      <c r="D3022" s="29"/>
    </row>
    <row r="3023">
      <c r="D3023" s="29"/>
    </row>
    <row r="3024">
      <c r="D3024" s="29"/>
    </row>
    <row r="3025">
      <c r="D3025" s="29"/>
    </row>
    <row r="3026">
      <c r="D3026" s="29"/>
    </row>
    <row r="3027">
      <c r="D3027" s="29"/>
    </row>
    <row r="3028">
      <c r="D3028" s="29"/>
    </row>
    <row r="3029">
      <c r="D3029" s="29"/>
    </row>
    <row r="3030">
      <c r="D3030" s="29"/>
    </row>
    <row r="3031">
      <c r="D3031" s="29"/>
    </row>
    <row r="3032">
      <c r="D3032" s="29"/>
    </row>
    <row r="3033">
      <c r="D3033" s="29"/>
    </row>
    <row r="3034">
      <c r="D3034" s="29"/>
    </row>
    <row r="3035">
      <c r="D3035" s="29"/>
    </row>
    <row r="3036">
      <c r="D3036" s="29"/>
    </row>
    <row r="3037">
      <c r="D3037" s="29"/>
    </row>
    <row r="3038">
      <c r="D3038" s="29"/>
    </row>
    <row r="3039">
      <c r="D3039" s="29"/>
    </row>
    <row r="3040">
      <c r="D3040" s="29"/>
    </row>
    <row r="3041">
      <c r="D3041" s="29"/>
    </row>
    <row r="3042">
      <c r="D3042" s="29"/>
    </row>
    <row r="3043">
      <c r="D3043" s="29"/>
    </row>
    <row r="3044">
      <c r="D3044" s="29"/>
    </row>
    <row r="3045">
      <c r="D3045" s="29"/>
    </row>
    <row r="3046">
      <c r="D3046" s="29"/>
    </row>
    <row r="3047">
      <c r="D3047" s="29"/>
    </row>
    <row r="3048">
      <c r="D3048" s="29"/>
    </row>
    <row r="3049">
      <c r="D3049" s="29"/>
    </row>
    <row r="3050">
      <c r="D3050" s="29"/>
    </row>
    <row r="3051">
      <c r="D3051" s="29"/>
    </row>
    <row r="3052">
      <c r="D3052" s="29"/>
    </row>
    <row r="3053">
      <c r="D3053" s="29"/>
    </row>
    <row r="3054">
      <c r="D3054" s="29"/>
    </row>
    <row r="3055">
      <c r="D3055" s="29"/>
    </row>
    <row r="3056">
      <c r="D3056" s="29"/>
    </row>
    <row r="3057">
      <c r="D3057" s="29"/>
    </row>
    <row r="3058">
      <c r="D3058" s="29"/>
    </row>
    <row r="3059">
      <c r="D3059" s="29"/>
    </row>
    <row r="3060">
      <c r="D3060" s="29"/>
    </row>
    <row r="3061">
      <c r="D3061" s="29"/>
    </row>
    <row r="3062">
      <c r="D3062" s="29"/>
    </row>
    <row r="3063">
      <c r="D3063" s="29"/>
    </row>
    <row r="3064">
      <c r="D3064" s="29"/>
    </row>
    <row r="3065">
      <c r="D3065" s="29"/>
    </row>
    <row r="3066">
      <c r="D3066" s="29"/>
    </row>
    <row r="3067">
      <c r="D3067" s="29"/>
    </row>
    <row r="3068">
      <c r="D3068" s="29"/>
    </row>
    <row r="3069">
      <c r="D3069" s="29"/>
    </row>
    <row r="3070">
      <c r="D3070" s="29"/>
    </row>
    <row r="3071">
      <c r="D3071" s="29"/>
    </row>
    <row r="3072">
      <c r="D3072" s="29"/>
    </row>
    <row r="3073">
      <c r="D3073" s="29"/>
    </row>
    <row r="3074">
      <c r="D3074" s="29"/>
    </row>
    <row r="3075">
      <c r="D3075" s="29"/>
    </row>
    <row r="3076">
      <c r="D3076" s="29"/>
    </row>
    <row r="3077">
      <c r="D3077" s="29"/>
    </row>
    <row r="3078">
      <c r="D3078" s="29"/>
    </row>
    <row r="3079">
      <c r="D3079" s="29"/>
    </row>
    <row r="3080">
      <c r="D3080" s="29"/>
    </row>
    <row r="3081">
      <c r="D3081" s="29"/>
    </row>
    <row r="3082">
      <c r="D3082" s="29"/>
    </row>
    <row r="3083">
      <c r="D3083" s="29"/>
    </row>
    <row r="3084">
      <c r="D3084" s="29"/>
    </row>
    <row r="3085">
      <c r="D3085" s="29"/>
    </row>
    <row r="3086">
      <c r="D3086" s="29"/>
    </row>
    <row r="3087">
      <c r="D3087" s="29"/>
    </row>
    <row r="3088">
      <c r="D3088" s="29"/>
    </row>
    <row r="3089">
      <c r="D3089" s="29"/>
    </row>
    <row r="3090">
      <c r="D3090" s="29"/>
    </row>
    <row r="3091">
      <c r="D3091" s="29"/>
    </row>
    <row r="3092">
      <c r="D3092" s="29"/>
    </row>
    <row r="3093">
      <c r="D3093" s="29"/>
    </row>
    <row r="3094">
      <c r="D3094" s="29"/>
    </row>
    <row r="3095">
      <c r="D3095" s="29"/>
    </row>
    <row r="3096">
      <c r="D3096" s="29"/>
    </row>
    <row r="3097">
      <c r="D3097" s="29"/>
    </row>
    <row r="3098">
      <c r="D3098" s="29"/>
    </row>
    <row r="3099">
      <c r="D3099" s="29"/>
    </row>
    <row r="3100">
      <c r="D3100" s="29"/>
    </row>
    <row r="3101">
      <c r="D3101" s="29"/>
    </row>
    <row r="3102">
      <c r="D3102" s="29"/>
    </row>
    <row r="3103">
      <c r="D3103" s="29"/>
    </row>
    <row r="3104">
      <c r="D3104" s="29"/>
    </row>
    <row r="3105">
      <c r="D3105" s="29"/>
    </row>
    <row r="3106">
      <c r="D3106" s="29"/>
    </row>
    <row r="3107">
      <c r="D3107" s="29"/>
    </row>
    <row r="3108">
      <c r="D3108" s="29"/>
    </row>
    <row r="3109">
      <c r="D3109" s="29"/>
    </row>
    <row r="3110">
      <c r="D3110" s="29"/>
    </row>
    <row r="3111">
      <c r="D3111" s="29"/>
    </row>
    <row r="3112">
      <c r="D3112" s="29"/>
    </row>
    <row r="3113">
      <c r="D3113" s="29"/>
    </row>
    <row r="3114">
      <c r="D3114" s="29"/>
    </row>
    <row r="3115">
      <c r="D3115" s="29"/>
    </row>
    <row r="3116">
      <c r="D3116" s="29"/>
    </row>
    <row r="3117">
      <c r="D3117" s="29"/>
    </row>
    <row r="3118">
      <c r="D3118" s="29"/>
    </row>
    <row r="3119">
      <c r="D3119" s="29"/>
    </row>
    <row r="3120">
      <c r="D3120" s="29"/>
    </row>
    <row r="3121">
      <c r="D3121" s="29"/>
    </row>
    <row r="3122">
      <c r="D3122" s="29"/>
    </row>
    <row r="3123">
      <c r="D3123" s="29"/>
    </row>
    <row r="3124">
      <c r="D3124" s="29"/>
    </row>
    <row r="3125">
      <c r="D3125" s="29"/>
    </row>
    <row r="3126">
      <c r="D3126" s="29"/>
    </row>
    <row r="3127">
      <c r="D3127" s="29"/>
    </row>
    <row r="3128">
      <c r="D3128" s="29"/>
    </row>
    <row r="3129">
      <c r="D3129" s="29"/>
    </row>
    <row r="3130">
      <c r="D3130" s="29"/>
    </row>
    <row r="3131">
      <c r="D3131" s="29"/>
    </row>
    <row r="3132">
      <c r="D3132" s="29"/>
    </row>
    <row r="3133">
      <c r="D3133" s="29"/>
    </row>
    <row r="3134">
      <c r="D3134" s="29"/>
    </row>
    <row r="3135">
      <c r="D3135" s="29"/>
    </row>
    <row r="3136">
      <c r="D3136" s="29"/>
    </row>
    <row r="3137">
      <c r="D3137" s="29"/>
    </row>
    <row r="3138">
      <c r="D3138" s="29"/>
    </row>
    <row r="3139">
      <c r="D3139" s="29"/>
    </row>
    <row r="3140">
      <c r="D3140" s="29"/>
    </row>
    <row r="3141">
      <c r="D3141" s="29"/>
    </row>
    <row r="3142">
      <c r="D3142" s="29"/>
    </row>
    <row r="3143">
      <c r="D3143" s="29"/>
    </row>
    <row r="3144">
      <c r="D3144" s="29"/>
    </row>
    <row r="3145">
      <c r="D3145" s="29"/>
    </row>
    <row r="3146">
      <c r="D3146" s="29"/>
    </row>
    <row r="3147">
      <c r="D3147" s="29"/>
    </row>
    <row r="3148">
      <c r="D3148" s="29"/>
    </row>
    <row r="3149">
      <c r="D3149" s="29"/>
    </row>
    <row r="3150">
      <c r="D3150" s="29"/>
    </row>
    <row r="3151">
      <c r="D3151" s="29"/>
    </row>
    <row r="3152">
      <c r="D3152" s="29"/>
    </row>
    <row r="3153">
      <c r="D3153" s="29"/>
    </row>
    <row r="3154">
      <c r="D3154" s="29"/>
    </row>
    <row r="3155">
      <c r="D3155" s="29"/>
    </row>
    <row r="3156">
      <c r="D3156" s="29"/>
    </row>
    <row r="3157">
      <c r="D3157" s="29"/>
    </row>
    <row r="3158">
      <c r="D3158" s="29"/>
    </row>
    <row r="3159">
      <c r="D3159" s="29"/>
    </row>
    <row r="3160">
      <c r="D3160" s="29"/>
    </row>
    <row r="3161">
      <c r="D3161" s="29"/>
    </row>
    <row r="3162">
      <c r="D3162" s="29"/>
    </row>
    <row r="3163">
      <c r="D3163" s="29"/>
    </row>
    <row r="3164">
      <c r="D3164" s="29"/>
    </row>
    <row r="3165">
      <c r="D3165" s="29"/>
    </row>
    <row r="3166">
      <c r="D3166" s="29"/>
    </row>
    <row r="3167">
      <c r="D3167" s="29"/>
    </row>
    <row r="3168">
      <c r="D3168" s="29"/>
    </row>
    <row r="3169">
      <c r="D3169" s="29"/>
    </row>
    <row r="3170">
      <c r="D3170" s="29"/>
    </row>
    <row r="3171">
      <c r="D3171" s="29"/>
    </row>
    <row r="3172">
      <c r="D3172" s="29"/>
    </row>
    <row r="3173">
      <c r="D3173" s="29"/>
    </row>
    <row r="3174">
      <c r="D3174" s="29"/>
    </row>
    <row r="3175">
      <c r="D3175" s="29"/>
    </row>
    <row r="3176">
      <c r="D3176" s="29"/>
    </row>
    <row r="3177">
      <c r="D3177" s="29"/>
    </row>
    <row r="3178">
      <c r="D3178" s="29"/>
    </row>
    <row r="3179">
      <c r="D3179" s="29"/>
    </row>
    <row r="3180">
      <c r="D3180" s="29"/>
    </row>
    <row r="3181">
      <c r="D3181" s="29"/>
    </row>
    <row r="3182">
      <c r="D3182" s="29"/>
    </row>
    <row r="3183">
      <c r="D3183" s="29"/>
    </row>
    <row r="3184">
      <c r="D3184" s="29"/>
    </row>
    <row r="3185">
      <c r="D3185" s="29"/>
    </row>
    <row r="3186">
      <c r="D3186" s="29"/>
    </row>
    <row r="3187">
      <c r="D3187" s="29"/>
    </row>
    <row r="3188">
      <c r="D3188" s="29"/>
    </row>
    <row r="3189">
      <c r="D3189" s="29"/>
    </row>
    <row r="3190">
      <c r="D3190" s="29"/>
    </row>
    <row r="3191">
      <c r="D3191" s="29"/>
    </row>
    <row r="3192">
      <c r="D3192" s="29"/>
    </row>
    <row r="3193">
      <c r="D3193" s="29"/>
    </row>
    <row r="3194">
      <c r="D3194" s="29"/>
    </row>
    <row r="3195">
      <c r="D3195" s="29"/>
    </row>
    <row r="3196">
      <c r="D3196" s="29"/>
    </row>
    <row r="3197">
      <c r="D3197" s="29"/>
    </row>
    <row r="3198">
      <c r="D3198" s="29"/>
    </row>
    <row r="3199">
      <c r="D3199" s="29"/>
    </row>
    <row r="3200">
      <c r="D3200" s="29"/>
    </row>
    <row r="3201">
      <c r="D3201" s="29"/>
    </row>
    <row r="3202">
      <c r="D3202" s="29"/>
    </row>
    <row r="3203">
      <c r="D3203" s="29"/>
    </row>
    <row r="3204">
      <c r="D3204" s="29"/>
    </row>
    <row r="3205">
      <c r="D3205" s="29"/>
    </row>
    <row r="3206">
      <c r="D3206" s="29"/>
    </row>
    <row r="3207">
      <c r="D3207" s="29"/>
    </row>
    <row r="3208">
      <c r="D3208" s="29"/>
    </row>
    <row r="3209">
      <c r="D3209" s="29"/>
    </row>
    <row r="3210">
      <c r="D3210" s="29"/>
    </row>
    <row r="3211">
      <c r="D3211" s="29"/>
    </row>
    <row r="3212">
      <c r="D3212" s="29"/>
    </row>
    <row r="3213">
      <c r="D3213" s="29"/>
    </row>
    <row r="3214">
      <c r="D3214" s="29"/>
    </row>
    <row r="3215">
      <c r="D3215" s="29"/>
    </row>
    <row r="3216">
      <c r="D3216" s="29"/>
    </row>
    <row r="3217">
      <c r="D3217" s="29"/>
    </row>
    <row r="3218">
      <c r="D3218" s="29"/>
    </row>
    <row r="3219">
      <c r="D3219" s="29"/>
    </row>
    <row r="3220">
      <c r="D3220" s="29"/>
    </row>
    <row r="3221">
      <c r="D3221" s="29"/>
    </row>
    <row r="3222">
      <c r="D3222" s="29"/>
    </row>
    <row r="3223">
      <c r="D3223" s="29"/>
    </row>
    <row r="3224">
      <c r="D3224" s="29"/>
    </row>
    <row r="3225">
      <c r="D3225" s="29"/>
    </row>
    <row r="3226">
      <c r="D3226" s="29"/>
    </row>
    <row r="3227">
      <c r="D3227" s="29"/>
    </row>
    <row r="3228">
      <c r="D3228" s="29"/>
    </row>
    <row r="3229">
      <c r="D3229" s="29"/>
    </row>
    <row r="3230">
      <c r="D3230" s="29"/>
    </row>
    <row r="3231">
      <c r="D3231" s="29"/>
    </row>
    <row r="3232">
      <c r="D3232" s="29"/>
    </row>
    <row r="3233">
      <c r="D3233" s="29"/>
    </row>
    <row r="3234">
      <c r="D3234" s="29"/>
    </row>
    <row r="3235">
      <c r="D3235" s="29"/>
    </row>
    <row r="3236">
      <c r="D3236" s="29"/>
    </row>
    <row r="3237">
      <c r="D3237" s="29"/>
    </row>
    <row r="3238">
      <c r="D3238" s="29"/>
    </row>
    <row r="3239">
      <c r="D3239" s="29"/>
    </row>
    <row r="3240">
      <c r="D3240" s="29"/>
    </row>
    <row r="3241">
      <c r="D3241" s="29"/>
    </row>
    <row r="3242">
      <c r="D3242" s="29"/>
    </row>
    <row r="3243">
      <c r="D3243" s="29"/>
    </row>
    <row r="3244">
      <c r="D3244" s="29"/>
    </row>
    <row r="3245">
      <c r="D3245" s="29"/>
    </row>
    <row r="3246">
      <c r="D3246" s="29"/>
    </row>
    <row r="3247">
      <c r="D3247" s="29"/>
    </row>
    <row r="3248">
      <c r="D3248" s="29"/>
    </row>
    <row r="3249">
      <c r="D3249" s="29"/>
    </row>
    <row r="3250">
      <c r="D3250" s="29"/>
    </row>
    <row r="3251">
      <c r="D3251" s="29"/>
    </row>
    <row r="3252">
      <c r="D3252" s="29"/>
    </row>
    <row r="3253">
      <c r="D3253" s="29"/>
    </row>
    <row r="3254">
      <c r="D3254" s="29"/>
    </row>
    <row r="3255">
      <c r="D3255" s="29"/>
    </row>
    <row r="3256">
      <c r="D3256" s="29"/>
    </row>
    <row r="3257">
      <c r="D3257" s="29"/>
    </row>
    <row r="3258">
      <c r="D3258" s="29"/>
    </row>
    <row r="3259">
      <c r="D3259" s="29"/>
    </row>
    <row r="3260">
      <c r="D3260" s="29"/>
    </row>
    <row r="3261">
      <c r="D3261" s="29"/>
    </row>
    <row r="3262">
      <c r="D3262" s="29"/>
    </row>
    <row r="3263">
      <c r="D3263" s="29"/>
    </row>
    <row r="3264">
      <c r="D3264" s="29"/>
    </row>
    <row r="3265">
      <c r="D3265" s="29"/>
    </row>
    <row r="3266">
      <c r="D3266" s="29"/>
    </row>
    <row r="3267">
      <c r="D3267" s="29"/>
    </row>
    <row r="3268">
      <c r="D3268" s="29"/>
    </row>
    <row r="3269">
      <c r="D3269" s="29"/>
    </row>
    <row r="3270">
      <c r="D3270" s="29"/>
    </row>
    <row r="3271">
      <c r="D3271" s="29"/>
    </row>
    <row r="3272">
      <c r="D3272" s="29"/>
    </row>
    <row r="3273">
      <c r="D3273" s="29"/>
    </row>
    <row r="3274">
      <c r="D3274" s="29"/>
    </row>
    <row r="3275">
      <c r="D3275" s="29"/>
    </row>
    <row r="3276">
      <c r="D3276" s="29"/>
    </row>
    <row r="3277">
      <c r="D3277" s="29"/>
    </row>
    <row r="3278">
      <c r="D3278" s="29"/>
    </row>
    <row r="3279">
      <c r="D3279" s="29"/>
    </row>
    <row r="3280">
      <c r="D3280" s="29"/>
    </row>
    <row r="3281">
      <c r="D3281" s="29"/>
    </row>
    <row r="3282">
      <c r="D3282" s="29"/>
    </row>
    <row r="3283">
      <c r="D3283" s="29"/>
    </row>
    <row r="3284">
      <c r="D3284" s="29"/>
    </row>
    <row r="3285">
      <c r="D3285" s="29"/>
    </row>
    <row r="3286">
      <c r="D3286" s="29"/>
    </row>
    <row r="3287">
      <c r="D3287" s="29"/>
    </row>
    <row r="3288">
      <c r="D3288" s="29"/>
    </row>
    <row r="3289">
      <c r="D3289" s="29"/>
    </row>
    <row r="3290">
      <c r="D3290" s="29"/>
    </row>
    <row r="3291">
      <c r="D3291" s="29"/>
    </row>
    <row r="3292">
      <c r="D3292" s="29"/>
    </row>
    <row r="3293">
      <c r="D3293" s="29"/>
    </row>
    <row r="3294">
      <c r="D3294" s="29"/>
    </row>
    <row r="3295">
      <c r="D3295" s="29"/>
    </row>
    <row r="3296">
      <c r="D3296" s="29"/>
    </row>
    <row r="3297">
      <c r="D3297" s="29"/>
    </row>
    <row r="3298">
      <c r="D3298" s="29"/>
    </row>
    <row r="3299">
      <c r="D3299" s="29"/>
    </row>
    <row r="3300">
      <c r="D3300" s="29"/>
    </row>
    <row r="3301">
      <c r="D3301" s="29"/>
    </row>
    <row r="3302">
      <c r="D3302" s="29"/>
    </row>
    <row r="3303">
      <c r="D3303" s="29"/>
    </row>
    <row r="3304">
      <c r="D3304" s="29"/>
    </row>
    <row r="3305">
      <c r="D3305" s="29"/>
    </row>
    <row r="3306">
      <c r="D3306" s="29"/>
    </row>
    <row r="3307">
      <c r="D3307" s="29"/>
    </row>
    <row r="3308">
      <c r="D3308" s="29"/>
    </row>
    <row r="3309">
      <c r="D3309" s="29"/>
    </row>
    <row r="3310">
      <c r="D3310" s="29"/>
    </row>
    <row r="3311">
      <c r="D3311" s="29"/>
    </row>
    <row r="3312">
      <c r="D3312" s="29"/>
    </row>
    <row r="3313">
      <c r="D3313" s="29"/>
    </row>
    <row r="3314">
      <c r="D3314" s="29"/>
    </row>
    <row r="3315">
      <c r="D3315" s="29"/>
    </row>
    <row r="3316">
      <c r="D3316" s="29"/>
    </row>
    <row r="3317">
      <c r="D3317" s="29"/>
    </row>
    <row r="3318">
      <c r="D3318" s="29"/>
    </row>
    <row r="3319">
      <c r="D3319" s="29"/>
    </row>
    <row r="3320">
      <c r="D3320" s="29"/>
    </row>
    <row r="3321">
      <c r="D3321" s="29"/>
    </row>
    <row r="3322">
      <c r="D3322" s="29"/>
    </row>
    <row r="3323">
      <c r="D3323" s="29"/>
    </row>
    <row r="3324">
      <c r="D3324" s="29"/>
    </row>
    <row r="3325">
      <c r="D3325" s="29"/>
    </row>
    <row r="3326">
      <c r="D3326" s="29"/>
    </row>
    <row r="3327">
      <c r="D3327" s="29"/>
    </row>
    <row r="3328">
      <c r="D3328" s="29"/>
    </row>
    <row r="3329">
      <c r="D3329" s="29"/>
    </row>
    <row r="3330">
      <c r="D3330" s="29"/>
    </row>
    <row r="3331">
      <c r="D3331" s="29"/>
    </row>
    <row r="3332">
      <c r="D3332" s="29"/>
    </row>
    <row r="3333">
      <c r="D3333" s="29"/>
    </row>
    <row r="3334">
      <c r="D3334" s="29"/>
    </row>
    <row r="3335">
      <c r="D3335" s="29"/>
    </row>
    <row r="3336">
      <c r="D3336" s="29"/>
    </row>
    <row r="3337">
      <c r="D3337" s="29"/>
    </row>
    <row r="3338">
      <c r="D3338" s="29"/>
    </row>
    <row r="3339">
      <c r="D3339" s="29"/>
    </row>
    <row r="3340">
      <c r="D3340" s="29"/>
    </row>
    <row r="3341">
      <c r="D3341" s="29"/>
    </row>
    <row r="3342">
      <c r="D3342" s="29"/>
    </row>
    <row r="3343">
      <c r="D3343" s="29"/>
    </row>
    <row r="3344">
      <c r="D3344" s="29"/>
    </row>
    <row r="3345">
      <c r="D3345" s="29"/>
    </row>
    <row r="3346">
      <c r="D3346" s="29"/>
    </row>
    <row r="3347">
      <c r="D3347" s="29"/>
    </row>
    <row r="3348">
      <c r="D3348" s="29"/>
    </row>
    <row r="3349">
      <c r="D3349" s="29"/>
    </row>
    <row r="3350">
      <c r="D3350" s="29"/>
    </row>
    <row r="3351">
      <c r="D3351" s="29"/>
    </row>
    <row r="3352">
      <c r="D3352" s="29"/>
    </row>
    <row r="3353">
      <c r="D3353" s="29"/>
    </row>
    <row r="3354">
      <c r="D3354" s="29"/>
    </row>
    <row r="3355">
      <c r="D3355" s="29"/>
    </row>
    <row r="3356">
      <c r="D3356" s="29"/>
    </row>
    <row r="3357">
      <c r="D3357" s="29"/>
    </row>
    <row r="3358">
      <c r="D3358" s="29"/>
    </row>
    <row r="3359">
      <c r="D3359" s="29"/>
    </row>
    <row r="3360">
      <c r="D3360" s="29"/>
    </row>
    <row r="3361">
      <c r="D3361" s="29"/>
    </row>
    <row r="3362">
      <c r="D3362" s="29"/>
    </row>
    <row r="3363">
      <c r="D3363" s="29"/>
    </row>
    <row r="3364">
      <c r="D3364" s="29"/>
    </row>
    <row r="3365">
      <c r="D3365" s="29"/>
    </row>
    <row r="3366">
      <c r="D3366" s="29"/>
    </row>
    <row r="3367">
      <c r="D3367" s="29"/>
    </row>
    <row r="3368">
      <c r="D3368" s="29"/>
    </row>
    <row r="3369">
      <c r="D3369" s="29"/>
    </row>
    <row r="3370">
      <c r="D3370" s="29"/>
    </row>
    <row r="3371">
      <c r="D3371" s="29"/>
    </row>
    <row r="3372">
      <c r="D3372" s="29"/>
    </row>
    <row r="3373">
      <c r="D3373" s="29"/>
    </row>
    <row r="3374">
      <c r="D3374" s="29"/>
    </row>
    <row r="3375">
      <c r="D3375" s="29"/>
    </row>
    <row r="3376">
      <c r="D3376" s="29"/>
    </row>
    <row r="3377">
      <c r="D3377" s="29"/>
    </row>
    <row r="3378">
      <c r="D3378" s="29"/>
    </row>
    <row r="3379">
      <c r="D3379" s="29"/>
    </row>
    <row r="3380">
      <c r="D3380" s="29"/>
    </row>
    <row r="3381">
      <c r="D3381" s="29"/>
    </row>
    <row r="3382">
      <c r="D3382" s="29"/>
    </row>
    <row r="3383">
      <c r="D3383" s="29"/>
    </row>
    <row r="3384">
      <c r="D3384" s="29"/>
    </row>
    <row r="3385">
      <c r="D3385" s="29"/>
    </row>
    <row r="3386">
      <c r="D3386" s="29"/>
    </row>
    <row r="3387">
      <c r="D3387" s="29"/>
    </row>
    <row r="3388">
      <c r="D3388" s="29"/>
    </row>
    <row r="3389">
      <c r="D3389" s="29"/>
    </row>
    <row r="3390">
      <c r="D3390" s="29"/>
    </row>
    <row r="3391">
      <c r="D3391" s="29"/>
    </row>
    <row r="3392">
      <c r="D3392" s="29"/>
    </row>
    <row r="3393">
      <c r="D3393" s="29"/>
    </row>
    <row r="3394">
      <c r="D3394" s="29"/>
    </row>
    <row r="3395">
      <c r="D3395" s="29"/>
    </row>
    <row r="3396">
      <c r="D3396" s="29"/>
    </row>
    <row r="3397">
      <c r="D3397" s="29"/>
    </row>
    <row r="3398">
      <c r="D3398" s="29"/>
    </row>
    <row r="3399">
      <c r="D3399" s="29"/>
    </row>
    <row r="3400">
      <c r="D3400" s="29"/>
    </row>
    <row r="3401">
      <c r="D3401" s="29"/>
    </row>
    <row r="3402">
      <c r="D3402" s="29"/>
    </row>
    <row r="3403">
      <c r="D3403" s="29"/>
    </row>
    <row r="3404">
      <c r="D3404" s="29"/>
    </row>
    <row r="3405">
      <c r="D3405" s="29"/>
    </row>
    <row r="3406">
      <c r="D3406" s="29"/>
    </row>
    <row r="3407">
      <c r="D3407" s="29"/>
    </row>
    <row r="3408">
      <c r="D3408" s="29"/>
    </row>
    <row r="3409">
      <c r="D3409" s="29"/>
    </row>
    <row r="3410">
      <c r="D3410" s="29"/>
    </row>
    <row r="3411">
      <c r="D3411" s="29"/>
    </row>
    <row r="3412">
      <c r="D3412" s="29"/>
    </row>
    <row r="3413">
      <c r="D3413" s="29"/>
    </row>
    <row r="3414">
      <c r="D3414" s="29"/>
    </row>
    <row r="3415">
      <c r="D3415" s="29"/>
    </row>
    <row r="3416">
      <c r="D3416" s="29"/>
    </row>
    <row r="3417">
      <c r="D3417" s="29"/>
    </row>
    <row r="3418">
      <c r="D3418" s="29"/>
    </row>
    <row r="3419">
      <c r="D3419" s="29"/>
    </row>
    <row r="3420">
      <c r="D3420" s="29"/>
    </row>
    <row r="3421">
      <c r="D3421" s="29"/>
    </row>
    <row r="3422">
      <c r="D3422" s="29"/>
    </row>
    <row r="3423">
      <c r="D3423" s="29"/>
    </row>
    <row r="3424">
      <c r="D3424" s="29"/>
    </row>
    <row r="3425">
      <c r="D3425" s="29"/>
    </row>
    <row r="3426">
      <c r="D3426" s="29"/>
    </row>
    <row r="3427">
      <c r="D3427" s="29"/>
    </row>
    <row r="3428">
      <c r="D3428" s="29"/>
    </row>
    <row r="3429">
      <c r="D3429" s="29"/>
    </row>
    <row r="3430">
      <c r="D3430" s="29"/>
    </row>
    <row r="3431">
      <c r="D3431" s="29"/>
    </row>
    <row r="3432">
      <c r="D3432" s="29"/>
    </row>
    <row r="3433">
      <c r="D3433" s="29"/>
    </row>
    <row r="3434">
      <c r="D3434" s="29"/>
    </row>
    <row r="3435">
      <c r="D3435" s="29"/>
    </row>
    <row r="3436">
      <c r="D3436" s="29"/>
    </row>
    <row r="3437">
      <c r="D3437" s="29"/>
    </row>
    <row r="3438">
      <c r="D3438" s="29"/>
    </row>
    <row r="3439">
      <c r="D3439" s="29"/>
    </row>
    <row r="3440">
      <c r="D3440" s="29"/>
    </row>
    <row r="3441">
      <c r="D3441" s="29"/>
    </row>
    <row r="3442">
      <c r="D3442" s="29"/>
    </row>
    <row r="3443">
      <c r="D3443" s="29"/>
    </row>
    <row r="3444">
      <c r="D3444" s="29"/>
    </row>
    <row r="3445">
      <c r="D3445" s="29"/>
    </row>
    <row r="3446">
      <c r="D3446" s="29"/>
    </row>
    <row r="3447">
      <c r="D3447" s="29"/>
    </row>
    <row r="3448">
      <c r="D3448" s="29"/>
    </row>
    <row r="3449">
      <c r="D3449" s="29"/>
    </row>
    <row r="3450">
      <c r="D3450" s="29"/>
    </row>
    <row r="3451">
      <c r="D3451" s="29"/>
    </row>
    <row r="3452">
      <c r="D3452" s="29"/>
    </row>
    <row r="3453">
      <c r="D3453" s="29"/>
    </row>
    <row r="3454">
      <c r="D3454" s="29"/>
    </row>
    <row r="3455">
      <c r="D3455" s="29"/>
    </row>
    <row r="3456">
      <c r="D3456" s="29"/>
    </row>
    <row r="3457">
      <c r="D3457" s="29"/>
    </row>
    <row r="3458">
      <c r="D3458" s="29"/>
    </row>
    <row r="3459">
      <c r="D3459" s="29"/>
    </row>
    <row r="3460">
      <c r="D3460" s="29"/>
    </row>
    <row r="3461">
      <c r="D3461" s="29"/>
    </row>
    <row r="3462">
      <c r="D3462" s="29"/>
    </row>
    <row r="3463">
      <c r="D3463" s="29"/>
    </row>
    <row r="3464">
      <c r="D3464" s="29"/>
    </row>
    <row r="3465">
      <c r="D3465" s="29"/>
    </row>
    <row r="3466">
      <c r="D3466" s="29"/>
    </row>
    <row r="3467">
      <c r="D3467" s="29"/>
    </row>
    <row r="3468">
      <c r="D3468" s="29"/>
    </row>
    <row r="3469">
      <c r="D3469" s="29"/>
    </row>
    <row r="3470">
      <c r="D3470" s="29"/>
    </row>
    <row r="3471">
      <c r="D3471" s="29"/>
    </row>
    <row r="3472">
      <c r="D3472" s="29"/>
    </row>
    <row r="3473">
      <c r="D3473" s="29"/>
    </row>
    <row r="3474">
      <c r="D3474" s="29"/>
    </row>
    <row r="3475">
      <c r="D3475" s="29"/>
    </row>
    <row r="3476">
      <c r="D3476" s="29"/>
    </row>
    <row r="3477">
      <c r="D3477" s="29"/>
    </row>
    <row r="3478">
      <c r="D3478" s="29"/>
    </row>
    <row r="3479">
      <c r="D3479" s="29"/>
    </row>
    <row r="3480">
      <c r="D3480" s="29"/>
    </row>
    <row r="3481">
      <c r="D3481" s="29"/>
    </row>
    <row r="3482">
      <c r="D3482" s="29"/>
    </row>
    <row r="3483">
      <c r="D3483" s="29"/>
    </row>
    <row r="3484">
      <c r="D3484" s="29"/>
    </row>
    <row r="3485">
      <c r="D3485" s="29"/>
    </row>
    <row r="3486">
      <c r="D3486" s="29"/>
    </row>
    <row r="3487">
      <c r="D3487" s="29"/>
    </row>
    <row r="3488">
      <c r="D3488" s="29"/>
    </row>
    <row r="3489">
      <c r="D3489" s="29"/>
    </row>
    <row r="3490">
      <c r="D3490" s="29"/>
    </row>
    <row r="3491">
      <c r="D3491" s="29"/>
    </row>
    <row r="3492">
      <c r="D3492" s="29"/>
    </row>
    <row r="3493">
      <c r="D3493" s="29"/>
    </row>
    <row r="3494">
      <c r="D3494" s="29"/>
    </row>
    <row r="3495">
      <c r="D3495" s="29"/>
    </row>
    <row r="3496">
      <c r="D3496" s="29"/>
    </row>
    <row r="3497">
      <c r="D3497" s="29"/>
    </row>
    <row r="3498">
      <c r="D3498" s="29"/>
    </row>
    <row r="3499">
      <c r="D3499" s="29"/>
    </row>
    <row r="3500">
      <c r="D3500" s="29"/>
    </row>
    <row r="3501">
      <c r="D3501" s="29"/>
    </row>
    <row r="3502">
      <c r="D3502" s="29"/>
    </row>
    <row r="3503">
      <c r="D3503" s="29"/>
    </row>
    <row r="3504">
      <c r="D3504" s="29"/>
    </row>
    <row r="3505">
      <c r="D3505" s="29"/>
    </row>
    <row r="3506">
      <c r="D3506" s="29"/>
    </row>
    <row r="3507">
      <c r="D3507" s="29"/>
    </row>
    <row r="3508">
      <c r="D3508" s="29"/>
    </row>
    <row r="3509">
      <c r="D3509" s="29"/>
    </row>
    <row r="3510">
      <c r="D3510" s="29"/>
    </row>
    <row r="3511">
      <c r="D3511" s="29"/>
    </row>
    <row r="3512">
      <c r="D3512" s="29"/>
    </row>
    <row r="3513">
      <c r="D3513" s="29"/>
    </row>
    <row r="3514">
      <c r="D3514" s="29"/>
    </row>
    <row r="3515">
      <c r="D3515" s="29"/>
    </row>
    <row r="3516">
      <c r="D3516" s="29"/>
    </row>
    <row r="3517">
      <c r="D3517" s="29"/>
    </row>
    <row r="3518">
      <c r="D3518" s="29"/>
    </row>
    <row r="3519">
      <c r="D3519" s="29"/>
    </row>
    <row r="3520">
      <c r="D3520" s="29"/>
    </row>
    <row r="3521">
      <c r="D3521" s="29"/>
    </row>
    <row r="3522">
      <c r="D3522" s="29"/>
    </row>
    <row r="3523">
      <c r="D3523" s="29"/>
    </row>
    <row r="3524">
      <c r="D3524" s="29"/>
    </row>
    <row r="3525">
      <c r="D3525" s="29"/>
    </row>
    <row r="3526">
      <c r="D3526" s="29"/>
    </row>
    <row r="3527">
      <c r="D3527" s="29"/>
    </row>
    <row r="3528">
      <c r="D3528" s="29"/>
    </row>
    <row r="3529">
      <c r="D3529" s="29"/>
    </row>
    <row r="3530">
      <c r="D3530" s="29"/>
    </row>
    <row r="3531">
      <c r="D3531" s="29"/>
    </row>
    <row r="3532">
      <c r="D3532" s="29"/>
    </row>
    <row r="3533">
      <c r="D3533" s="29"/>
    </row>
    <row r="3534">
      <c r="D3534" s="29"/>
    </row>
    <row r="3535">
      <c r="D3535" s="29"/>
    </row>
    <row r="3536">
      <c r="D3536" s="29"/>
    </row>
    <row r="3537">
      <c r="D3537" s="29"/>
    </row>
    <row r="3538">
      <c r="D3538" s="29"/>
    </row>
    <row r="3539">
      <c r="D3539" s="29"/>
    </row>
    <row r="3540">
      <c r="D3540" s="29"/>
    </row>
    <row r="3541">
      <c r="D3541" s="29"/>
    </row>
    <row r="3542">
      <c r="D3542" s="29"/>
    </row>
    <row r="3543">
      <c r="D3543" s="29"/>
    </row>
    <row r="3544">
      <c r="D3544" s="29"/>
    </row>
    <row r="3545">
      <c r="D3545" s="29"/>
    </row>
    <row r="3546">
      <c r="D3546" s="29"/>
    </row>
    <row r="3547">
      <c r="D3547" s="29"/>
    </row>
    <row r="3548">
      <c r="D3548" s="29"/>
    </row>
    <row r="3549">
      <c r="D3549" s="29"/>
    </row>
    <row r="3550">
      <c r="D3550" s="29"/>
    </row>
    <row r="3551">
      <c r="D3551" s="29"/>
    </row>
    <row r="3552">
      <c r="D3552" s="29"/>
    </row>
    <row r="3553">
      <c r="D3553" s="29"/>
    </row>
    <row r="3554">
      <c r="D3554" s="29"/>
    </row>
    <row r="3555">
      <c r="D3555" s="29"/>
    </row>
    <row r="3556">
      <c r="D3556" s="29"/>
    </row>
    <row r="3557">
      <c r="D3557" s="29"/>
    </row>
    <row r="3558">
      <c r="D3558" s="29"/>
    </row>
    <row r="3559">
      <c r="D3559" s="29"/>
    </row>
    <row r="3560">
      <c r="D3560" s="29"/>
    </row>
    <row r="3561">
      <c r="D3561" s="29"/>
    </row>
    <row r="3562">
      <c r="D3562" s="29"/>
    </row>
    <row r="3563">
      <c r="D3563" s="29"/>
    </row>
    <row r="3564">
      <c r="D3564" s="29"/>
    </row>
    <row r="3565">
      <c r="D3565" s="29"/>
    </row>
    <row r="3566">
      <c r="D3566" s="29"/>
    </row>
    <row r="3567">
      <c r="D3567" s="29"/>
    </row>
    <row r="3568">
      <c r="D3568" s="29"/>
    </row>
    <row r="3569">
      <c r="D3569" s="29"/>
    </row>
    <row r="3570">
      <c r="D3570" s="29"/>
    </row>
    <row r="3571">
      <c r="D3571" s="29"/>
    </row>
    <row r="3572">
      <c r="D3572" s="29"/>
    </row>
    <row r="3573">
      <c r="D3573" s="29"/>
    </row>
    <row r="3574">
      <c r="D3574" s="29"/>
    </row>
    <row r="3575">
      <c r="D3575" s="29"/>
    </row>
    <row r="3576">
      <c r="D3576" s="29"/>
    </row>
    <row r="3577">
      <c r="D3577" s="29"/>
    </row>
    <row r="3578">
      <c r="D3578" s="29"/>
    </row>
    <row r="3579">
      <c r="D3579" s="29"/>
    </row>
    <row r="3580">
      <c r="D3580" s="29"/>
    </row>
    <row r="3581">
      <c r="D3581" s="29"/>
    </row>
    <row r="3582">
      <c r="D3582" s="29"/>
    </row>
    <row r="3583">
      <c r="D3583" s="29"/>
    </row>
    <row r="3584">
      <c r="D3584" s="29"/>
    </row>
    <row r="3585">
      <c r="D3585" s="29"/>
    </row>
    <row r="3586">
      <c r="D3586" s="29"/>
    </row>
    <row r="3587">
      <c r="D3587" s="29"/>
    </row>
    <row r="3588">
      <c r="D3588" s="29"/>
    </row>
    <row r="3589">
      <c r="D3589" s="29"/>
    </row>
    <row r="3590">
      <c r="D3590" s="29"/>
    </row>
    <row r="3591">
      <c r="D3591" s="29"/>
    </row>
    <row r="3592">
      <c r="D3592" s="29"/>
    </row>
    <row r="3593">
      <c r="D3593" s="29"/>
    </row>
    <row r="3594">
      <c r="D3594" s="29"/>
    </row>
    <row r="3595">
      <c r="D3595" s="29"/>
    </row>
    <row r="3596">
      <c r="D3596" s="29"/>
    </row>
    <row r="3597">
      <c r="D3597" s="29"/>
    </row>
    <row r="3598">
      <c r="D3598" s="29"/>
    </row>
    <row r="3599">
      <c r="D3599" s="29"/>
    </row>
    <row r="3600">
      <c r="D3600" s="29"/>
    </row>
    <row r="3601">
      <c r="D3601" s="29"/>
    </row>
    <row r="3602">
      <c r="D3602" s="29"/>
    </row>
    <row r="3603">
      <c r="D3603" s="29"/>
    </row>
    <row r="3604">
      <c r="D3604" s="29"/>
    </row>
    <row r="3605">
      <c r="D3605" s="29"/>
    </row>
    <row r="3606">
      <c r="D3606" s="29"/>
    </row>
    <row r="3607">
      <c r="D3607" s="29"/>
    </row>
    <row r="3608">
      <c r="D3608" s="29"/>
    </row>
    <row r="3609">
      <c r="D3609" s="29"/>
    </row>
    <row r="3610">
      <c r="D3610" s="29"/>
    </row>
    <row r="3611">
      <c r="D3611" s="29"/>
    </row>
    <row r="3612">
      <c r="D3612" s="29"/>
    </row>
    <row r="3613">
      <c r="D3613" s="29"/>
    </row>
    <row r="3614">
      <c r="D3614" s="29"/>
    </row>
    <row r="3615">
      <c r="D3615" s="29"/>
    </row>
    <row r="3616">
      <c r="D3616" s="29"/>
    </row>
    <row r="3617">
      <c r="D3617" s="29"/>
    </row>
    <row r="3618">
      <c r="D3618" s="29"/>
    </row>
    <row r="3619">
      <c r="D3619" s="29"/>
    </row>
    <row r="3620">
      <c r="D3620" s="29"/>
    </row>
    <row r="3621">
      <c r="D3621" s="29"/>
    </row>
    <row r="3622">
      <c r="D3622" s="29"/>
    </row>
    <row r="3623">
      <c r="D3623" s="29"/>
    </row>
    <row r="3624">
      <c r="D3624" s="29"/>
    </row>
    <row r="3625">
      <c r="D3625" s="29"/>
    </row>
    <row r="3626">
      <c r="D3626" s="29"/>
    </row>
    <row r="3627">
      <c r="D3627" s="29"/>
    </row>
    <row r="3628">
      <c r="D3628" s="29"/>
    </row>
    <row r="3629">
      <c r="D3629" s="29"/>
    </row>
    <row r="3630">
      <c r="D3630" s="29"/>
    </row>
    <row r="3631">
      <c r="D3631" s="29"/>
    </row>
    <row r="3632">
      <c r="D3632" s="29"/>
    </row>
    <row r="3633">
      <c r="D3633" s="29"/>
    </row>
    <row r="3634">
      <c r="D3634" s="29"/>
    </row>
    <row r="3635">
      <c r="D3635" s="29"/>
    </row>
    <row r="3636">
      <c r="D3636" s="29"/>
    </row>
    <row r="3637">
      <c r="D3637" s="29"/>
    </row>
    <row r="3638">
      <c r="D3638" s="29"/>
    </row>
    <row r="3639">
      <c r="D3639" s="29"/>
    </row>
    <row r="3640">
      <c r="D3640" s="29"/>
    </row>
    <row r="3641">
      <c r="D3641" s="29"/>
    </row>
    <row r="3642">
      <c r="D3642" s="29"/>
    </row>
    <row r="3643">
      <c r="D3643" s="29"/>
    </row>
    <row r="3644">
      <c r="D3644" s="29"/>
    </row>
    <row r="3645">
      <c r="D3645" s="29"/>
    </row>
    <row r="3646">
      <c r="D3646" s="29"/>
    </row>
    <row r="3647">
      <c r="D3647" s="29"/>
    </row>
    <row r="3648">
      <c r="D3648" s="29"/>
    </row>
    <row r="3649">
      <c r="D3649" s="29"/>
    </row>
    <row r="3650">
      <c r="D3650" s="29"/>
    </row>
    <row r="3651">
      <c r="D3651" s="29"/>
    </row>
    <row r="3652">
      <c r="D3652" s="29"/>
    </row>
    <row r="3653">
      <c r="D3653" s="29"/>
    </row>
    <row r="3654">
      <c r="D3654" s="29"/>
    </row>
    <row r="3655">
      <c r="D3655" s="29"/>
    </row>
  </sheetData>
  <autoFilter ref="$A$3:$M$3655"/>
  <mergeCells count="2">
    <mergeCell ref="H1:J1"/>
    <mergeCell ref="F2:G2"/>
  </mergeCells>
  <conditionalFormatting sqref="A3:G1591 H3:J1830 K3:K1727 K1729:K1999">
    <cfRule type="expression" dxfId="0" priority="1">
      <formula>AND($A3&lt;&gt;"", $C3="", $D3="", $E3="", $F3="")</formula>
    </cfRule>
  </conditionalFormatting>
  <conditionalFormatting sqref="B2">
    <cfRule type="notContainsBlanks" dxfId="3" priority="2">
      <formula>LEN(TRIM(B2))&gt;0</formula>
    </cfRule>
  </conditionalFormatting>
  <conditionalFormatting sqref="A2">
    <cfRule type="notContainsBlanks" dxfId="3" priority="3">
      <formula>LEN(TRIM(A2))&gt;0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35</v>
      </c>
      <c r="B1" s="15"/>
      <c r="C1" s="15"/>
      <c r="D1" s="15"/>
      <c r="E1" s="62"/>
      <c r="F1" s="62"/>
      <c r="G1" s="62"/>
      <c r="H1" s="62"/>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row>
    <row r="2">
      <c r="A2" s="63" t="s">
        <v>36</v>
      </c>
      <c r="B2" s="63" t="s">
        <v>37</v>
      </c>
      <c r="C2" s="64" t="s">
        <v>38</v>
      </c>
      <c r="D2" s="65" t="s">
        <v>39</v>
      </c>
      <c r="E2" s="66" t="s">
        <v>40</v>
      </c>
      <c r="F2" s="66" t="s">
        <v>41</v>
      </c>
      <c r="G2" s="66" t="s">
        <v>42</v>
      </c>
      <c r="H2" s="66" t="s">
        <v>43</v>
      </c>
      <c r="I2" s="63" t="s">
        <v>44</v>
      </c>
      <c r="J2" s="63" t="s">
        <v>45</v>
      </c>
      <c r="K2" s="63" t="s">
        <v>46</v>
      </c>
      <c r="L2" s="63" t="s">
        <v>47</v>
      </c>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row>
    <row r="3">
      <c r="A3" s="68">
        <v>45537.0</v>
      </c>
      <c r="B3" s="15"/>
      <c r="C3" s="69"/>
      <c r="D3" s="69" t="s">
        <v>20</v>
      </c>
      <c r="E3" s="69" t="s">
        <v>20</v>
      </c>
      <c r="F3" s="70" t="s">
        <v>48</v>
      </c>
      <c r="G3" s="71" t="s">
        <v>49</v>
      </c>
      <c r="H3" s="71" t="s">
        <v>50</v>
      </c>
      <c r="I3" s="72" t="s">
        <v>51</v>
      </c>
      <c r="J3" s="72" t="s">
        <v>52</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row>
    <row r="4">
      <c r="A4" s="68">
        <v>45565.0</v>
      </c>
      <c r="B4" s="15"/>
      <c r="C4" s="69"/>
      <c r="D4" s="69" t="s">
        <v>30</v>
      </c>
      <c r="E4" s="69" t="s">
        <v>30</v>
      </c>
      <c r="F4" s="70"/>
      <c r="G4" s="71" t="s">
        <v>49</v>
      </c>
      <c r="H4" s="71" t="s">
        <v>50</v>
      </c>
      <c r="I4" s="15"/>
      <c r="J4" s="72" t="s">
        <v>53</v>
      </c>
      <c r="K4" s="72" t="s">
        <v>54</v>
      </c>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row>
    <row r="5">
      <c r="A5" s="73">
        <v>45573.0</v>
      </c>
      <c r="C5" s="74"/>
      <c r="D5" s="75" t="s">
        <v>23</v>
      </c>
      <c r="E5" s="75" t="s">
        <v>23</v>
      </c>
      <c r="F5" s="75">
        <v>7.5</v>
      </c>
      <c r="G5" s="75" t="s">
        <v>49</v>
      </c>
      <c r="H5" s="71" t="s">
        <v>50</v>
      </c>
    </row>
  </sheetData>
  <hyperlinks>
    <hyperlink r:id="rId1" location="gid=1558813663&amp;range=A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76" t="s">
        <v>55</v>
      </c>
      <c r="B1" s="77"/>
      <c r="C1" s="76" t="s">
        <v>56</v>
      </c>
      <c r="D1" s="77"/>
      <c r="E1" s="76" t="s">
        <v>57</v>
      </c>
      <c r="F1" s="77"/>
      <c r="G1" s="76" t="s">
        <v>58</v>
      </c>
      <c r="H1" s="77"/>
      <c r="I1" s="76" t="s">
        <v>59</v>
      </c>
      <c r="J1" s="77"/>
      <c r="K1" s="76" t="s">
        <v>60</v>
      </c>
      <c r="L1" s="77"/>
      <c r="M1" s="76" t="s">
        <v>61</v>
      </c>
      <c r="N1" s="77"/>
      <c r="O1" s="76" t="s">
        <v>62</v>
      </c>
      <c r="P1" s="77"/>
      <c r="Q1" s="76" t="s">
        <v>63</v>
      </c>
      <c r="R1" s="77"/>
      <c r="S1" s="76" t="s">
        <v>64</v>
      </c>
      <c r="T1" s="78"/>
      <c r="U1" s="76" t="s">
        <v>65</v>
      </c>
      <c r="V1" s="77"/>
      <c r="W1" s="76" t="s">
        <v>66</v>
      </c>
      <c r="X1" s="77"/>
      <c r="Y1" s="76" t="s">
        <v>67</v>
      </c>
      <c r="Z1" s="77"/>
      <c r="AA1" s="76" t="s">
        <v>68</v>
      </c>
      <c r="AB1" s="77"/>
      <c r="AC1" s="76" t="s">
        <v>69</v>
      </c>
      <c r="AD1" s="77"/>
      <c r="AE1" s="76" t="s">
        <v>70</v>
      </c>
      <c r="AF1" s="78"/>
      <c r="AG1" s="76" t="s">
        <v>71</v>
      </c>
      <c r="AH1" s="78"/>
      <c r="AI1" s="76" t="s">
        <v>72</v>
      </c>
      <c r="AJ1" s="77"/>
      <c r="AK1" s="76" t="s">
        <v>73</v>
      </c>
      <c r="AL1" s="77"/>
      <c r="AM1" s="76" t="s">
        <v>74</v>
      </c>
      <c r="AN1" s="77"/>
      <c r="AO1" s="76" t="s">
        <v>75</v>
      </c>
      <c r="AP1" s="77"/>
      <c r="AQ1" s="76" t="s">
        <v>76</v>
      </c>
      <c r="AR1" s="77"/>
      <c r="AS1" s="76" t="s">
        <v>77</v>
      </c>
      <c r="AT1" s="77"/>
      <c r="AU1" s="76" t="s">
        <v>78</v>
      </c>
      <c r="AV1" s="77"/>
      <c r="AW1" s="76" t="s">
        <v>79</v>
      </c>
      <c r="AX1" s="77"/>
      <c r="AY1" s="76" t="s">
        <v>80</v>
      </c>
      <c r="AZ1" s="77"/>
      <c r="BA1" s="76" t="s">
        <v>81</v>
      </c>
      <c r="BB1" s="77"/>
      <c r="BC1" s="76" t="s">
        <v>82</v>
      </c>
      <c r="BD1" s="77"/>
      <c r="BE1" s="76" t="s">
        <v>83</v>
      </c>
      <c r="BF1" s="77"/>
      <c r="BG1" s="76" t="s">
        <v>84</v>
      </c>
      <c r="BH1" s="77"/>
      <c r="BI1" s="76" t="s">
        <v>85</v>
      </c>
      <c r="BJ1" s="77"/>
      <c r="BK1" s="76" t="s">
        <v>86</v>
      </c>
      <c r="BL1" s="77"/>
      <c r="BM1" s="76" t="s">
        <v>87</v>
      </c>
      <c r="BN1" s="77"/>
      <c r="BO1" s="76" t="s">
        <v>88</v>
      </c>
      <c r="BP1" s="77"/>
      <c r="BQ1" s="76" t="s">
        <v>89</v>
      </c>
      <c r="BR1" s="78"/>
      <c r="BS1" s="76" t="s">
        <v>90</v>
      </c>
      <c r="BT1" s="78"/>
      <c r="BU1" s="76" t="s">
        <v>91</v>
      </c>
      <c r="BV1" s="78"/>
      <c r="BW1" s="76" t="s">
        <v>92</v>
      </c>
      <c r="BX1" s="78"/>
    </row>
    <row r="2">
      <c r="A2" s="78" t="str">
        <f t="shared" ref="A2:A272" si="1">CONCATENATE('Term Reference Guide (in-progress)'!B359," [",'Term Reference Guide (in-progress)'!C359,"]")</f>
        <v>#REF!</v>
      </c>
      <c r="B2" s="77"/>
      <c r="C2" s="78" t="str">
        <f t="shared" ref="C2:C4" si="2">CONCATENATE('Term Reference Guide (in-progress)'!B786," [",'Term Reference Guide (in-progress)'!C786,"]")</f>
        <v>#REF!</v>
      </c>
      <c r="D2" s="77"/>
      <c r="E2" s="78" t="str">
        <f t="shared" ref="E2:E4" si="3">CONCATENATE('Term Reference Guide (in-progress)'!B888," [",'Term Reference Guide (in-progress)'!C888,"]")</f>
        <v>#REF!</v>
      </c>
      <c r="F2" s="78"/>
      <c r="G2" s="79" t="str">
        <f t="shared" ref="G2:G26" si="4">CONCATENATE('Term Reference Guide (in-progress)'!B893," [",'Term Reference Guide (in-progress)'!C893,"]")</f>
        <v>#REF!</v>
      </c>
      <c r="H2" s="77"/>
      <c r="I2" s="78" t="s">
        <v>93</v>
      </c>
      <c r="J2" s="77"/>
      <c r="K2" s="79" t="s">
        <v>94</v>
      </c>
      <c r="L2" s="77"/>
      <c r="M2" s="78" t="str">
        <f t="shared" ref="M2:M10" si="5">CONCATENATE('Term Reference Guide (in-progress)'!B9," [",'Term Reference Guide (in-progress)'!C9,"]")</f>
        <v>#REF!</v>
      </c>
      <c r="N2" s="77"/>
      <c r="O2" s="78" t="str">
        <f t="shared" ref="O2:O26" si="6">CONCATENATE('Term Reference Guide (in-progress)'!B19," [",'Term Reference Guide (in-progress)'!C19,"]")</f>
        <v>#REF!</v>
      </c>
      <c r="P2" s="77"/>
      <c r="Q2" s="78" t="str">
        <f t="shared" ref="Q2:Q9" si="7">CONCATENATE('Term Reference Guide (in-progress)'!B51," [",'Term Reference Guide (in-progress)'!C51,"]")</f>
        <v>#REF!</v>
      </c>
      <c r="R2" s="77"/>
      <c r="S2" s="78" t="str">
        <f t="shared" ref="S2:S34" si="8">CONCATENATE('Term Reference Guide (in-progress)'!B180," [",'Term Reference Guide (in-progress)'!C180,"]")</f>
        <v>#REF!</v>
      </c>
      <c r="T2" s="77"/>
      <c r="U2" s="78" t="str">
        <f t="shared" ref="U2:U22" si="9">CONCATENATE('Term Reference Guide (in-progress)'!B214," [",'Term Reference Guide (in-progress)'!C214,"]")</f>
        <v>#REF!</v>
      </c>
      <c r="V2" s="77"/>
      <c r="W2" s="78" t="str">
        <f t="shared" ref="W2:W18" si="10">CONCATENATE('Term Reference Guide (in-progress)'!B60," [",'Term Reference Guide (in-progress)'!C60,"]")</f>
        <v>#REF!</v>
      </c>
      <c r="X2" s="77"/>
      <c r="Y2" s="78" t="str">
        <f t="shared" ref="Y2:Y22" si="11">CONCATENATE('Term Reference Guide (in-progress)'!B78," [",'Term Reference Guide (in-progress)'!C78,"]")</f>
        <v>#REF!</v>
      </c>
      <c r="Z2" s="77"/>
      <c r="AA2" s="78" t="str">
        <f t="shared" ref="AA2:AA5" si="12">CONCATENATE('Term Reference Guide (in-progress)'!B1123," [",'Term Reference Guide (in-progress)'!C1123,"]")</f>
        <v>#REF!</v>
      </c>
      <c r="AB2" s="77"/>
      <c r="AC2" s="78" t="str">
        <f t="shared" ref="AC2:AC17" si="13">CONCATENATE(#REF!," [",#REF!,"]")</f>
        <v>#REF!</v>
      </c>
      <c r="AD2" s="77"/>
      <c r="AE2" s="78" t="str">
        <f t="shared" ref="AE2:AE6" si="14">CONCATENATE(#REF!," [",#REF!,"]")</f>
        <v>#REF!</v>
      </c>
      <c r="AF2" s="77"/>
      <c r="AG2" s="78" t="str">
        <f t="shared" ref="AG2:AG14" si="15">CONCATENATE('Term Reference Guide (in-progress)'!B645," [",'Term Reference Guide (in-progress)'!C645,"]")</f>
        <v>#REF!</v>
      </c>
      <c r="AH2" s="77"/>
      <c r="AI2" s="78" t="str">
        <f t="shared" ref="AI2:AI17" si="16">CONCATENATE('Term Reference Guide (in-progress)'!B659," [",'Term Reference Guide (in-progress)'!C659,"]")</f>
        <v>#REF!</v>
      </c>
      <c r="AJ2" s="77"/>
      <c r="AK2" s="78" t="str">
        <f t="shared" ref="AK2:AK6" si="17">CONCATENATE('Term Reference Guide (in-progress)'!B705," [",'Term Reference Guide (in-progress)'!C705,"]")</f>
        <v>#REF!</v>
      </c>
      <c r="AL2" s="77"/>
      <c r="AM2" s="78" t="str">
        <f t="shared" ref="AM2:AM8" si="18">CONCATENATE('Term Reference Guide (in-progress)'!B711," [",'Term Reference Guide (in-progress)'!C711,"]")</f>
        <v>#REF!</v>
      </c>
      <c r="AN2" s="77"/>
      <c r="AO2" s="78" t="str">
        <f t="shared" ref="AO2:AO5" si="19">CONCATENATE('Term Reference Guide (in-progress)'!B700," [",'Term Reference Guide (in-progress)'!C700,"]")</f>
        <v>#REF!</v>
      </c>
      <c r="AP2" s="77"/>
      <c r="AQ2" s="78" t="str">
        <f>CONCATENATE('Term Reference Guide (in-progress)'!B691," [",'Term Reference Guide (in-progress)'!C691,"]")</f>
        <v>#REF!</v>
      </c>
      <c r="AR2" s="77"/>
      <c r="AS2" s="78" t="str">
        <f t="shared" ref="AS2:AS3" si="20">CONCATENATE('Term Reference Guide (in-progress)'!B688," [",'Term Reference Guide (in-progress)'!C688,"]")</f>
        <v>#REF!</v>
      </c>
      <c r="AT2" s="77"/>
      <c r="AU2" s="78" t="str">
        <f t="shared" ref="AU2:AU12" si="21">CONCATENATE('Term Reference Guide (in-progress)'!B676," [",'Term Reference Guide (in-progress)'!C676,"]")</f>
        <v>#REF!</v>
      </c>
      <c r="AV2" s="77"/>
      <c r="AW2" s="78" t="str">
        <f t="shared" ref="AW2:AW7" si="22">CONCATENATE('Term Reference Guide (in-progress)'!B693," [",'Term Reference Guide (in-progress)'!C693,"]")</f>
        <v>#REF!</v>
      </c>
      <c r="AX2" s="77"/>
      <c r="AY2" s="78" t="str">
        <f t="shared" ref="AY2:AY88" si="23">CONCATENATE('Term Reference Guide (in-progress)'!B1035," [",'Term Reference Guide (in-progress)'!C1035,"]")</f>
        <v>#REF!</v>
      </c>
      <c r="AZ2" s="77"/>
      <c r="BA2" s="78" t="str">
        <f t="shared" ref="BA2:BA92" si="24">CONCATENATE('Term Reference Guide (in-progress)'!B790," [",'Term Reference Guide (in-progress)'!C790,"]")</f>
        <v>#REF!</v>
      </c>
      <c r="BB2" s="77"/>
      <c r="BC2" s="78" t="str">
        <f t="shared" ref="BC2:BC79" si="25">CONCATENATE(#REF!," [",#REF!,"]")</f>
        <v>#REF!</v>
      </c>
      <c r="BD2" s="77"/>
      <c r="BE2" s="78" t="str">
        <f t="shared" ref="BE2:BE3" si="26">CONCATENATE('Term Reference Guide (in-progress)'!B760," [",'Term Reference Guide (in-progress)'!C760,"]")</f>
        <v>#REF!</v>
      </c>
      <c r="BF2" s="77"/>
      <c r="BG2" s="79" t="str">
        <f>CONCATENATE('Term Reference Guide (in-progress)'!B242," [",'Term Reference Guide (in-progress)'!C242,"]")</f>
        <v>#REF!</v>
      </c>
      <c r="BH2" s="77"/>
      <c r="BI2" s="80" t="s">
        <v>95</v>
      </c>
      <c r="BJ2" s="77"/>
      <c r="BK2" s="79" t="str">
        <f t="shared" ref="BK2:BK12" si="27">CONCATENATE('Term Reference Guide (in-progress)'!B719," [",'Term Reference Guide (in-progress)'!C719,"]")</f>
        <v>#REF!</v>
      </c>
      <c r="BL2" s="77"/>
      <c r="BM2" s="79" t="str">
        <f t="shared" ref="BM2:BM63" si="28">CONCATENATE('Term Reference Guide (in-progress)'!B262," [",'Term Reference Guide (in-progress)'!C262,"]")</f>
        <v>#REF!</v>
      </c>
      <c r="BN2" s="77"/>
      <c r="BO2" s="78" t="str">
        <f t="shared" ref="BO2:BO3" si="29">CONCATENATE('Term Reference Guide (in-progress)'!B882," [",'Term Reference Guide (in-progress)'!C882,"]")</f>
        <v>#REF!</v>
      </c>
      <c r="BP2" s="77"/>
      <c r="BQ2" s="78" t="str">
        <f t="shared" ref="BQ2:BQ3" si="30">CONCATENATE('Term Reference Guide (in-progress)'!B885," [",'Term Reference Guide (in-progress)'!C885,"]")</f>
        <v>#REF!</v>
      </c>
      <c r="BR2" s="77"/>
      <c r="BS2" s="79" t="str">
        <f t="shared" ref="BS2:BS47" si="31">CONCATENATE('Term Reference Guide (in-progress)'!B988," [",'Term Reference Guide (in-progress)'!C988,"]")</f>
        <v>#REF!</v>
      </c>
      <c r="BT2" s="77"/>
      <c r="BU2" s="77" t="str">
        <f t="shared" ref="BU2:BU34" si="32">CONCATENATE('Term Reference Guide (in-progress)'!B325," [",'Term Reference Guide (in-progress)'!C325,"]")</f>
        <v>#REF!</v>
      </c>
      <c r="BV2" s="81"/>
      <c r="BW2" s="77" t="str">
        <f t="shared" ref="BW2:BW4" si="33">CONCATENATE('Term Reference Guide (in-progress)'!B1134," [",'Term Reference Guide (in-progress)'!C1134,"]")</f>
        <v>#REF!</v>
      </c>
      <c r="BX2" s="78"/>
    </row>
    <row r="3">
      <c r="A3" s="78" t="str">
        <f t="shared" si="1"/>
        <v>#REF!</v>
      </c>
      <c r="B3" s="77"/>
      <c r="C3" s="78" t="str">
        <f t="shared" si="2"/>
        <v>#REF!</v>
      </c>
      <c r="D3" s="78"/>
      <c r="E3" s="78" t="str">
        <f t="shared" si="3"/>
        <v>#REF!</v>
      </c>
      <c r="F3" s="77"/>
      <c r="G3" s="79" t="str">
        <f t="shared" si="4"/>
        <v>#REF!</v>
      </c>
      <c r="H3" s="77"/>
      <c r="I3" s="78" t="s">
        <v>96</v>
      </c>
      <c r="J3" s="77"/>
      <c r="K3" s="79" t="s">
        <v>97</v>
      </c>
      <c r="L3" s="77"/>
      <c r="M3" s="78" t="str">
        <f t="shared" si="5"/>
        <v>#REF!</v>
      </c>
      <c r="N3" s="77"/>
      <c r="O3" s="78" t="str">
        <f t="shared" si="6"/>
        <v>#REF!</v>
      </c>
      <c r="P3" s="77"/>
      <c r="Q3" s="78" t="str">
        <f t="shared" si="7"/>
        <v>#REF!</v>
      </c>
      <c r="R3" s="77"/>
      <c r="S3" s="78" t="str">
        <f t="shared" si="8"/>
        <v>#REF!</v>
      </c>
      <c r="T3" s="77"/>
      <c r="U3" s="78" t="str">
        <f t="shared" si="9"/>
        <v>#REF!</v>
      </c>
      <c r="V3" s="77"/>
      <c r="W3" s="78" t="str">
        <f t="shared" si="10"/>
        <v>#REF!</v>
      </c>
      <c r="X3" s="77"/>
      <c r="Y3" s="78" t="str">
        <f t="shared" si="11"/>
        <v>#REF!</v>
      </c>
      <c r="Z3" s="77"/>
      <c r="AA3" s="78" t="str">
        <f t="shared" si="12"/>
        <v>#REF!</v>
      </c>
      <c r="AB3" s="78"/>
      <c r="AC3" s="78" t="str">
        <f t="shared" si="13"/>
        <v>#REF!</v>
      </c>
      <c r="AD3" s="77"/>
      <c r="AE3" s="78" t="str">
        <f t="shared" si="14"/>
        <v>#REF!</v>
      </c>
      <c r="AF3" s="77"/>
      <c r="AG3" s="78" t="str">
        <f t="shared" si="15"/>
        <v>#REF!</v>
      </c>
      <c r="AH3" s="77"/>
      <c r="AI3" s="78" t="str">
        <f t="shared" si="16"/>
        <v>#REF!</v>
      </c>
      <c r="AJ3" s="77"/>
      <c r="AK3" s="78" t="str">
        <f t="shared" si="17"/>
        <v>#REF!</v>
      </c>
      <c r="AL3" s="77"/>
      <c r="AM3" s="78" t="str">
        <f t="shared" si="18"/>
        <v>#REF!</v>
      </c>
      <c r="AN3" s="77"/>
      <c r="AO3" s="78" t="str">
        <f t="shared" si="19"/>
        <v>#REF!</v>
      </c>
      <c r="AP3" s="77"/>
      <c r="AQ3" s="78" t="str">
        <f t="shared" ref="AQ3:AQ7" si="34">CONCATENATE('Term Reference Guide (in-progress)'!B3," [",'Term Reference Guide (in-progress)'!C3,"]")</f>
        <v>#REF!</v>
      </c>
      <c r="AR3" s="77"/>
      <c r="AS3" s="78" t="str">
        <f t="shared" si="20"/>
        <v>#REF!</v>
      </c>
      <c r="AT3" s="77"/>
      <c r="AU3" s="78" t="str">
        <f t="shared" si="21"/>
        <v>#REF!</v>
      </c>
      <c r="AV3" s="77"/>
      <c r="AW3" s="78" t="str">
        <f t="shared" si="22"/>
        <v>#REF!</v>
      </c>
      <c r="AX3" s="77"/>
      <c r="AY3" s="78" t="str">
        <f t="shared" si="23"/>
        <v>#REF!</v>
      </c>
      <c r="AZ3" s="77"/>
      <c r="BA3" s="78" t="str">
        <f t="shared" si="24"/>
        <v>#REF!</v>
      </c>
      <c r="BB3" s="77"/>
      <c r="BC3" s="78" t="str">
        <f t="shared" si="25"/>
        <v>#REF!</v>
      </c>
      <c r="BD3" s="77"/>
      <c r="BE3" s="78" t="str">
        <f t="shared" si="26"/>
        <v>#REF!</v>
      </c>
      <c r="BF3" s="77"/>
      <c r="BG3" s="79" t="str">
        <f t="shared" ref="BG3:BG4" si="35">CONCATENATE('Term Reference Guide (in-progress)'!B244," [",'Term Reference Guide (in-progress)'!C244,"]")</f>
        <v>#REF!</v>
      </c>
      <c r="BH3" s="77"/>
      <c r="BI3" s="78" t="str">
        <f t="shared" ref="BI3:BI6" si="36">CONCATENATE('Term Reference Guide (in-progress)'!B237," [",'Term Reference Guide (in-progress)'!C237,"]")</f>
        <v>#REF!</v>
      </c>
      <c r="BJ3" s="77"/>
      <c r="BK3" s="79" t="str">
        <f t="shared" si="27"/>
        <v>#REF!</v>
      </c>
      <c r="BL3" s="77"/>
      <c r="BM3" s="79" t="str">
        <f t="shared" si="28"/>
        <v>#REF!</v>
      </c>
      <c r="BN3" s="77"/>
      <c r="BO3" s="78" t="str">
        <f t="shared" si="29"/>
        <v>#REF!</v>
      </c>
      <c r="BP3" s="77"/>
      <c r="BQ3" s="78" t="str">
        <f t="shared" si="30"/>
        <v>#REF!</v>
      </c>
      <c r="BR3" s="77"/>
      <c r="BS3" s="79" t="str">
        <f t="shared" si="31"/>
        <v>#REF!</v>
      </c>
      <c r="BT3" s="77"/>
      <c r="BU3" s="77" t="str">
        <f t="shared" si="32"/>
        <v>#REF!</v>
      </c>
      <c r="BV3" s="78"/>
      <c r="BW3" s="77" t="str">
        <f t="shared" si="33"/>
        <v>#REF!</v>
      </c>
      <c r="BX3" s="78"/>
    </row>
    <row r="4">
      <c r="A4" s="78" t="str">
        <f t="shared" si="1"/>
        <v>#REF!</v>
      </c>
      <c r="B4" s="77"/>
      <c r="C4" s="78" t="str">
        <f t="shared" si="2"/>
        <v>#REF!</v>
      </c>
      <c r="D4" s="77"/>
      <c r="E4" s="78" t="str">
        <f t="shared" si="3"/>
        <v>#REF!</v>
      </c>
      <c r="F4" s="77"/>
      <c r="G4" s="79" t="str">
        <f t="shared" si="4"/>
        <v>#REF!</v>
      </c>
      <c r="H4" s="77"/>
      <c r="I4" s="78" t="s">
        <v>98</v>
      </c>
      <c r="J4" s="77"/>
      <c r="K4" s="79" t="str">
        <f t="shared" ref="K4:K8" si="37">CONCATENATE('Term Reference Guide (in-progress)'!B3," [",'Term Reference Guide (in-progress)'!C3,"]")</f>
        <v>#REF!</v>
      </c>
      <c r="L4" s="77"/>
      <c r="M4" s="78" t="str">
        <f t="shared" si="5"/>
        <v>#REF!</v>
      </c>
      <c r="N4" s="78"/>
      <c r="O4" s="78" t="str">
        <f t="shared" si="6"/>
        <v>#REF!</v>
      </c>
      <c r="P4" s="77"/>
      <c r="Q4" s="78" t="str">
        <f t="shared" si="7"/>
        <v>#REF!</v>
      </c>
      <c r="R4" s="77"/>
      <c r="S4" s="78" t="str">
        <f t="shared" si="8"/>
        <v>#REF!</v>
      </c>
      <c r="T4" s="77"/>
      <c r="U4" s="78" t="str">
        <f t="shared" si="9"/>
        <v>#REF!</v>
      </c>
      <c r="V4" s="77"/>
      <c r="W4" s="78" t="str">
        <f t="shared" si="10"/>
        <v>#REF!</v>
      </c>
      <c r="X4" s="77"/>
      <c r="Y4" s="78" t="str">
        <f t="shared" si="11"/>
        <v>#REF!</v>
      </c>
      <c r="Z4" s="77"/>
      <c r="AA4" s="78" t="str">
        <f t="shared" si="12"/>
        <v>#REF!</v>
      </c>
      <c r="AB4" s="77"/>
      <c r="AC4" s="78" t="str">
        <f t="shared" si="13"/>
        <v>#REF!</v>
      </c>
      <c r="AD4" s="77"/>
      <c r="AE4" s="78" t="str">
        <f t="shared" si="14"/>
        <v>#REF!</v>
      </c>
      <c r="AF4" s="77"/>
      <c r="AG4" s="78" t="str">
        <f t="shared" si="15"/>
        <v>#REF!</v>
      </c>
      <c r="AH4" s="77"/>
      <c r="AI4" s="78" t="str">
        <f t="shared" si="16"/>
        <v>#REF!</v>
      </c>
      <c r="AJ4" s="77"/>
      <c r="AK4" s="78" t="str">
        <f t="shared" si="17"/>
        <v>#REF!</v>
      </c>
      <c r="AL4" s="77"/>
      <c r="AM4" s="78" t="str">
        <f t="shared" si="18"/>
        <v>#REF!</v>
      </c>
      <c r="AN4" s="77"/>
      <c r="AO4" s="78" t="str">
        <f t="shared" si="19"/>
        <v>#REF!</v>
      </c>
      <c r="AP4" s="77"/>
      <c r="AQ4" s="78" t="str">
        <f t="shared" si="34"/>
        <v>#REF!</v>
      </c>
      <c r="AR4" s="77"/>
      <c r="AS4" s="78" t="str">
        <f t="shared" ref="AS4:AS8" si="38">CONCATENATE('Term Reference Guide (in-progress)'!B3," [",'Term Reference Guide (in-progress)'!C3,"]")</f>
        <v>#REF!</v>
      </c>
      <c r="AT4" s="77"/>
      <c r="AU4" s="78" t="str">
        <f t="shared" si="21"/>
        <v>#REF!</v>
      </c>
      <c r="AV4" s="77"/>
      <c r="AW4" s="78" t="str">
        <f t="shared" si="22"/>
        <v>#REF!</v>
      </c>
      <c r="AX4" s="77"/>
      <c r="AY4" s="78" t="str">
        <f t="shared" si="23"/>
        <v>#REF!</v>
      </c>
      <c r="AZ4" s="77"/>
      <c r="BA4" s="78" t="str">
        <f t="shared" si="24"/>
        <v>#REF!</v>
      </c>
      <c r="BB4" s="77"/>
      <c r="BC4" s="78" t="str">
        <f t="shared" si="25"/>
        <v>#REF!</v>
      </c>
      <c r="BE4" s="78" t="s">
        <v>99</v>
      </c>
      <c r="BF4" s="77"/>
      <c r="BG4" s="79" t="str">
        <f t="shared" si="35"/>
        <v>#REF!</v>
      </c>
      <c r="BH4" s="77"/>
      <c r="BI4" s="78" t="str">
        <f t="shared" si="36"/>
        <v>#REF!</v>
      </c>
      <c r="BJ4" s="77"/>
      <c r="BK4" s="79" t="str">
        <f t="shared" si="27"/>
        <v>#REF!</v>
      </c>
      <c r="BL4" s="77"/>
      <c r="BM4" s="79" t="str">
        <f t="shared" si="28"/>
        <v>#REF!</v>
      </c>
      <c r="BN4" s="77"/>
      <c r="BO4" s="79" t="s">
        <v>100</v>
      </c>
      <c r="BP4" s="77"/>
      <c r="BQ4" s="79" t="s">
        <v>100</v>
      </c>
      <c r="BR4" s="77"/>
      <c r="BS4" s="79" t="str">
        <f t="shared" si="31"/>
        <v>#REF!</v>
      </c>
      <c r="BT4" s="77"/>
      <c r="BU4" s="77" t="str">
        <f t="shared" si="32"/>
        <v>#REF!</v>
      </c>
      <c r="BV4" s="78"/>
      <c r="BW4" s="77" t="str">
        <f t="shared" si="33"/>
        <v>#REF!</v>
      </c>
      <c r="BX4" s="78"/>
    </row>
    <row r="5">
      <c r="A5" s="78" t="str">
        <f t="shared" si="1"/>
        <v>#REF!</v>
      </c>
      <c r="B5" s="77"/>
      <c r="C5" s="78" t="str">
        <f t="shared" ref="C5:C9" si="39">CONCATENATE('Term Reference Guide (in-progress)'!B3," [",'Term Reference Guide (in-progress)'!C3,"]")</f>
        <v>#REF!</v>
      </c>
      <c r="D5" s="77"/>
      <c r="E5" s="78" t="str">
        <f>CONCATENATE(#REF!," [",#REF!,"]")</f>
        <v>#REF!</v>
      </c>
      <c r="F5" s="77"/>
      <c r="G5" s="79" t="str">
        <f t="shared" si="4"/>
        <v>#REF!</v>
      </c>
      <c r="H5" s="77"/>
      <c r="I5" s="78" t="s">
        <v>101</v>
      </c>
      <c r="J5" s="77"/>
      <c r="K5" s="79" t="str">
        <f t="shared" si="37"/>
        <v>#REF!</v>
      </c>
      <c r="L5" s="77"/>
      <c r="M5" s="78" t="str">
        <f t="shared" si="5"/>
        <v>#REF!</v>
      </c>
      <c r="N5" s="77"/>
      <c r="O5" s="78" t="str">
        <f t="shared" si="6"/>
        <v>#REF!</v>
      </c>
      <c r="P5" s="77"/>
      <c r="Q5" s="78" t="str">
        <f t="shared" si="7"/>
        <v>#REF!</v>
      </c>
      <c r="R5" s="77"/>
      <c r="S5" s="78" t="str">
        <f t="shared" si="8"/>
        <v>#REF!</v>
      </c>
      <c r="T5" s="77"/>
      <c r="U5" s="78" t="str">
        <f t="shared" si="9"/>
        <v>#REF!</v>
      </c>
      <c r="V5" s="77"/>
      <c r="W5" s="78" t="str">
        <f t="shared" si="10"/>
        <v>#REF!</v>
      </c>
      <c r="X5" s="77"/>
      <c r="Y5" s="78" t="str">
        <f t="shared" si="11"/>
        <v>#REF!</v>
      </c>
      <c r="Z5" s="77"/>
      <c r="AA5" s="78" t="str">
        <f t="shared" si="12"/>
        <v>#REF!</v>
      </c>
      <c r="AB5" s="77"/>
      <c r="AC5" s="78" t="str">
        <f t="shared" si="13"/>
        <v>#REF!</v>
      </c>
      <c r="AD5" s="77"/>
      <c r="AE5" s="78" t="str">
        <f t="shared" si="14"/>
        <v>#REF!</v>
      </c>
      <c r="AF5" s="78"/>
      <c r="AG5" s="78" t="str">
        <f t="shared" si="15"/>
        <v>#REF!</v>
      </c>
      <c r="AH5" s="77"/>
      <c r="AI5" s="78" t="str">
        <f t="shared" si="16"/>
        <v>#REF!</v>
      </c>
      <c r="AJ5" s="77"/>
      <c r="AK5" s="78" t="str">
        <f t="shared" si="17"/>
        <v>#REF!</v>
      </c>
      <c r="AL5" s="77"/>
      <c r="AM5" s="78" t="str">
        <f t="shared" si="18"/>
        <v>#REF!</v>
      </c>
      <c r="AN5" s="77"/>
      <c r="AO5" s="78" t="str">
        <f t="shared" si="19"/>
        <v>#REF!</v>
      </c>
      <c r="AP5" s="77"/>
      <c r="AQ5" s="78" t="str">
        <f t="shared" si="34"/>
        <v>#REF!</v>
      </c>
      <c r="AR5" s="77"/>
      <c r="AS5" s="78" t="str">
        <f t="shared" si="38"/>
        <v>#REF!</v>
      </c>
      <c r="AT5" s="77"/>
      <c r="AU5" s="78" t="str">
        <f t="shared" si="21"/>
        <v>#REF!</v>
      </c>
      <c r="AV5" s="77"/>
      <c r="AW5" s="78" t="str">
        <f t="shared" si="22"/>
        <v>#REF!</v>
      </c>
      <c r="AX5" s="77"/>
      <c r="AY5" s="78" t="str">
        <f t="shared" si="23"/>
        <v>#REF!</v>
      </c>
      <c r="AZ5" s="77"/>
      <c r="BA5" s="78" t="str">
        <f t="shared" si="24"/>
        <v>#REF!</v>
      </c>
      <c r="BB5" s="77"/>
      <c r="BC5" s="78" t="str">
        <f t="shared" si="25"/>
        <v>#REF!</v>
      </c>
      <c r="BE5" s="79" t="str">
        <f t="shared" ref="BE5:BE9" si="40">CONCATENATE('Term Reference Guide (in-progress)'!B3," [",'Term Reference Guide (in-progress)'!C3,"]")</f>
        <v>#REF!</v>
      </c>
      <c r="BF5" s="77"/>
      <c r="BG5" s="79" t="str">
        <f>CONCATENATE('Term Reference Guide (in-progress)'!B243," [",'Term Reference Guide (in-progress)'!C243,"]")</f>
        <v>#REF!</v>
      </c>
      <c r="BH5" s="77"/>
      <c r="BI5" s="78" t="str">
        <f t="shared" si="36"/>
        <v>#REF!</v>
      </c>
      <c r="BJ5" s="77"/>
      <c r="BK5" s="79" t="str">
        <f t="shared" si="27"/>
        <v>#REF!</v>
      </c>
      <c r="BL5" s="77"/>
      <c r="BM5" s="79" t="str">
        <f t="shared" si="28"/>
        <v>#REF!</v>
      </c>
      <c r="BN5" s="77"/>
      <c r="BO5" s="79" t="s">
        <v>102</v>
      </c>
      <c r="BP5" s="77"/>
      <c r="BQ5" s="79" t="s">
        <v>102</v>
      </c>
      <c r="BR5" s="77"/>
      <c r="BS5" s="79" t="str">
        <f t="shared" si="31"/>
        <v>#REF!</v>
      </c>
      <c r="BT5" s="77"/>
      <c r="BU5" s="77" t="str">
        <f t="shared" si="32"/>
        <v>#REF!</v>
      </c>
      <c r="BV5" s="78"/>
      <c r="BW5" s="77"/>
      <c r="BX5" s="77"/>
    </row>
    <row r="6">
      <c r="A6" s="78" t="str">
        <f t="shared" si="1"/>
        <v>#REF!</v>
      </c>
      <c r="B6" s="77"/>
      <c r="C6" s="78" t="str">
        <f t="shared" si="39"/>
        <v>#REF!</v>
      </c>
      <c r="D6" s="77"/>
      <c r="E6" s="78" t="str">
        <f>CONCATENATE('Term Reference Guide (in-progress)'!B891," [",'Term Reference Guide (in-progress)'!C891,"]")</f>
        <v>#REF!</v>
      </c>
      <c r="F6" s="77"/>
      <c r="G6" s="79" t="str">
        <f t="shared" si="4"/>
        <v>#REF!</v>
      </c>
      <c r="H6" s="77"/>
      <c r="I6" s="78" t="s">
        <v>103</v>
      </c>
      <c r="J6" s="77"/>
      <c r="K6" s="79" t="str">
        <f t="shared" si="37"/>
        <v>#REF!</v>
      </c>
      <c r="L6" s="77"/>
      <c r="M6" s="78" t="str">
        <f t="shared" si="5"/>
        <v>#REF!</v>
      </c>
      <c r="N6" s="77"/>
      <c r="O6" s="78" t="str">
        <f t="shared" si="6"/>
        <v>#REF!</v>
      </c>
      <c r="P6" s="77"/>
      <c r="Q6" s="78" t="str">
        <f t="shared" si="7"/>
        <v>#REF!</v>
      </c>
      <c r="R6" s="77"/>
      <c r="S6" s="78" t="str">
        <f t="shared" si="8"/>
        <v>#REF!</v>
      </c>
      <c r="T6" s="77"/>
      <c r="U6" s="78" t="str">
        <f t="shared" si="9"/>
        <v>#REF!</v>
      </c>
      <c r="V6" s="77"/>
      <c r="W6" s="78" t="str">
        <f t="shared" si="10"/>
        <v>#REF!</v>
      </c>
      <c r="X6" s="77"/>
      <c r="Y6" s="78" t="str">
        <f t="shared" si="11"/>
        <v>#REF!</v>
      </c>
      <c r="Z6" s="77"/>
      <c r="AA6" s="78" t="str">
        <f t="shared" ref="AA6:AA10" si="41">CONCATENATE('Term Reference Guide (in-progress)'!B3," [",'Term Reference Guide (in-progress)'!C3,"]")</f>
        <v>#REF!</v>
      </c>
      <c r="AB6" s="77"/>
      <c r="AC6" s="78" t="str">
        <f t="shared" si="13"/>
        <v>#REF!</v>
      </c>
      <c r="AD6" s="77"/>
      <c r="AE6" s="78" t="str">
        <f t="shared" si="14"/>
        <v>#REF!</v>
      </c>
      <c r="AF6" s="77"/>
      <c r="AG6" s="78" t="str">
        <f t="shared" si="15"/>
        <v>#REF!</v>
      </c>
      <c r="AH6" s="77"/>
      <c r="AI6" s="78" t="str">
        <f t="shared" si="16"/>
        <v>#REF!</v>
      </c>
      <c r="AJ6" s="77"/>
      <c r="AK6" s="78" t="str">
        <f t="shared" si="17"/>
        <v>#REF!</v>
      </c>
      <c r="AL6" s="77"/>
      <c r="AM6" s="78" t="str">
        <f t="shared" si="18"/>
        <v>#REF!</v>
      </c>
      <c r="AN6" s="77"/>
      <c r="AO6" s="78" t="str">
        <f t="shared" ref="AO6:AO10" si="42">CONCATENATE('Term Reference Guide (in-progress)'!B3," [",'Term Reference Guide (in-progress)'!C3,"]")</f>
        <v>#REF!</v>
      </c>
      <c r="AP6" s="77"/>
      <c r="AQ6" s="78" t="str">
        <f t="shared" si="34"/>
        <v>#REF!</v>
      </c>
      <c r="AR6" s="77"/>
      <c r="AS6" s="78" t="str">
        <f t="shared" si="38"/>
        <v>#REF!</v>
      </c>
      <c r="AT6" s="77"/>
      <c r="AU6" s="78" t="str">
        <f t="shared" si="21"/>
        <v>#REF!</v>
      </c>
      <c r="AV6" s="77"/>
      <c r="AW6" s="78" t="str">
        <f t="shared" si="22"/>
        <v>#REF!</v>
      </c>
      <c r="AX6" s="77"/>
      <c r="AY6" s="78" t="str">
        <f t="shared" si="23"/>
        <v>#REF!</v>
      </c>
      <c r="AZ6" s="77"/>
      <c r="BA6" s="78" t="str">
        <f t="shared" si="24"/>
        <v>#REF!</v>
      </c>
      <c r="BB6" s="77"/>
      <c r="BC6" s="78" t="str">
        <f t="shared" si="25"/>
        <v>#REF!</v>
      </c>
      <c r="BE6" s="79" t="str">
        <f t="shared" si="40"/>
        <v>#REF!</v>
      </c>
      <c r="BF6" s="77"/>
      <c r="BG6" s="79" t="str">
        <f t="shared" ref="BG6:BG16" si="43">CONCATENATE('Term Reference Guide (in-progress)'!B249," [",'Term Reference Guide (in-progress)'!C249,"]")</f>
        <v>#REF!</v>
      </c>
      <c r="BH6" s="77"/>
      <c r="BI6" s="78" t="str">
        <f t="shared" si="36"/>
        <v>#REF!</v>
      </c>
      <c r="BJ6" s="77"/>
      <c r="BK6" s="79" t="str">
        <f t="shared" si="27"/>
        <v>#REF!</v>
      </c>
      <c r="BL6" s="77"/>
      <c r="BM6" s="79" t="str">
        <f t="shared" si="28"/>
        <v>#REF!</v>
      </c>
      <c r="BN6" s="77"/>
      <c r="BO6" s="79" t="s">
        <v>104</v>
      </c>
      <c r="BP6" s="77"/>
      <c r="BQ6" s="79" t="s">
        <v>104</v>
      </c>
      <c r="BR6" s="77"/>
      <c r="BS6" s="79" t="str">
        <f t="shared" si="31"/>
        <v>#REF!</v>
      </c>
      <c r="BT6" s="77"/>
      <c r="BU6" s="77" t="str">
        <f t="shared" si="32"/>
        <v>#REF!</v>
      </c>
      <c r="BV6" s="78"/>
      <c r="BW6" s="77"/>
      <c r="BX6" s="77"/>
    </row>
    <row r="7">
      <c r="A7" s="78" t="str">
        <f t="shared" si="1"/>
        <v>#REF!</v>
      </c>
      <c r="B7" s="77"/>
      <c r="C7" s="78" t="str">
        <f t="shared" si="39"/>
        <v>#REF!</v>
      </c>
      <c r="D7" s="77"/>
      <c r="E7" s="78" t="str">
        <f t="shared" ref="E7:E11" si="44">CONCATENATE('Term Reference Guide (in-progress)'!B3," [",'Term Reference Guide (in-progress)'!C3,"]")</f>
        <v>#REF!</v>
      </c>
      <c r="F7" s="77"/>
      <c r="G7" s="79" t="str">
        <f t="shared" si="4"/>
        <v>#REF!</v>
      </c>
      <c r="H7" s="77"/>
      <c r="I7" s="78" t="s">
        <v>105</v>
      </c>
      <c r="J7" s="77"/>
      <c r="K7" s="79" t="str">
        <f t="shared" si="37"/>
        <v>#REF!</v>
      </c>
      <c r="L7" s="77"/>
      <c r="M7" s="78" t="str">
        <f t="shared" si="5"/>
        <v>#REF!</v>
      </c>
      <c r="N7" s="77"/>
      <c r="O7" s="78" t="str">
        <f t="shared" si="6"/>
        <v>#REF!</v>
      </c>
      <c r="P7" s="77"/>
      <c r="Q7" s="78" t="str">
        <f t="shared" si="7"/>
        <v>#REF!</v>
      </c>
      <c r="R7" s="77"/>
      <c r="S7" s="78" t="str">
        <f t="shared" si="8"/>
        <v>#REF!</v>
      </c>
      <c r="T7" s="77"/>
      <c r="U7" s="78" t="str">
        <f t="shared" si="9"/>
        <v>#REF!</v>
      </c>
      <c r="V7" s="77"/>
      <c r="W7" s="78" t="str">
        <f t="shared" si="10"/>
        <v>#REF!</v>
      </c>
      <c r="X7" s="77"/>
      <c r="Y7" s="78" t="str">
        <f t="shared" si="11"/>
        <v>#REF!</v>
      </c>
      <c r="Z7" s="77"/>
      <c r="AA7" s="78" t="str">
        <f t="shared" si="41"/>
        <v>#REF!</v>
      </c>
      <c r="AB7" s="77"/>
      <c r="AC7" s="78" t="str">
        <f t="shared" si="13"/>
        <v>#REF!</v>
      </c>
      <c r="AD7" s="77"/>
      <c r="AE7" s="78" t="str">
        <f t="shared" ref="AE7:AE11" si="45">CONCATENATE('Term Reference Guide (in-progress)'!B3," [",'Term Reference Guide (in-progress)'!C3,"]")</f>
        <v>#REF!</v>
      </c>
      <c r="AF7" s="77"/>
      <c r="AG7" s="78" t="str">
        <f t="shared" si="15"/>
        <v>#REF!</v>
      </c>
      <c r="AH7" s="77"/>
      <c r="AI7" s="78" t="str">
        <f t="shared" si="16"/>
        <v>#REF!</v>
      </c>
      <c r="AJ7" s="77"/>
      <c r="AK7" s="78" t="str">
        <f t="shared" ref="AK7:AK11" si="46">CONCATENATE('Term Reference Guide (in-progress)'!B3," [",'Term Reference Guide (in-progress)'!C3,"]")</f>
        <v>#REF!</v>
      </c>
      <c r="AL7" s="77"/>
      <c r="AM7" s="78" t="str">
        <f t="shared" si="18"/>
        <v>#REF!</v>
      </c>
      <c r="AN7" s="78"/>
      <c r="AO7" s="78" t="str">
        <f t="shared" si="42"/>
        <v>#REF!</v>
      </c>
      <c r="AP7" s="77"/>
      <c r="AQ7" s="78" t="str">
        <f t="shared" si="34"/>
        <v>#REF!</v>
      </c>
      <c r="AR7" s="77"/>
      <c r="AS7" s="78" t="str">
        <f t="shared" si="38"/>
        <v>#REF!</v>
      </c>
      <c r="AT7" s="77"/>
      <c r="AU7" s="78" t="str">
        <f t="shared" si="21"/>
        <v>#REF!</v>
      </c>
      <c r="AV7" s="77"/>
      <c r="AW7" s="78" t="str">
        <f t="shared" si="22"/>
        <v>#REF!</v>
      </c>
      <c r="AX7" s="77"/>
      <c r="AY7" s="78" t="str">
        <f t="shared" si="23"/>
        <v>#REF!</v>
      </c>
      <c r="AZ7" s="77"/>
      <c r="BA7" s="78" t="str">
        <f t="shared" si="24"/>
        <v>#REF!</v>
      </c>
      <c r="BB7" s="77"/>
      <c r="BC7" s="78" t="str">
        <f t="shared" si="25"/>
        <v>#REF!</v>
      </c>
      <c r="BE7" s="79" t="str">
        <f t="shared" si="40"/>
        <v>#REF!</v>
      </c>
      <c r="BF7" s="77"/>
      <c r="BG7" s="79" t="str">
        <f t="shared" si="43"/>
        <v>#REF!</v>
      </c>
      <c r="BH7" s="77"/>
      <c r="BI7" s="79" t="str">
        <f t="shared" ref="BI7:BI11" si="47">CONCATENATE('Term Reference Guide (in-progress)'!B3," [",'Term Reference Guide (in-progress)'!C3,"]")</f>
        <v>#REF!</v>
      </c>
      <c r="BJ7" s="77"/>
      <c r="BK7" s="79" t="str">
        <f t="shared" si="27"/>
        <v>#REF!</v>
      </c>
      <c r="BL7" s="77"/>
      <c r="BM7" s="79" t="str">
        <f t="shared" si="28"/>
        <v>#REF!</v>
      </c>
      <c r="BN7" s="77"/>
      <c r="BO7" s="79" t="s">
        <v>106</v>
      </c>
      <c r="BP7" s="77"/>
      <c r="BQ7" s="79" t="s">
        <v>106</v>
      </c>
      <c r="BR7" s="77"/>
      <c r="BS7" s="79" t="str">
        <f t="shared" si="31"/>
        <v>#REF!</v>
      </c>
      <c r="BT7" s="77"/>
      <c r="BU7" s="77" t="str">
        <f t="shared" si="32"/>
        <v>#REF!</v>
      </c>
      <c r="BV7" s="78"/>
      <c r="BX7" s="77"/>
    </row>
    <row r="8">
      <c r="A8" s="78" t="str">
        <f t="shared" si="1"/>
        <v>#REF!</v>
      </c>
      <c r="B8" s="77"/>
      <c r="C8" s="78" t="str">
        <f t="shared" si="39"/>
        <v>#REF!</v>
      </c>
      <c r="D8" s="77"/>
      <c r="E8" s="78" t="str">
        <f t="shared" si="44"/>
        <v>#REF!</v>
      </c>
      <c r="F8" s="77"/>
      <c r="G8" s="79" t="str">
        <f t="shared" si="4"/>
        <v>#REF!</v>
      </c>
      <c r="H8" s="77"/>
      <c r="I8" s="78" t="s">
        <v>107</v>
      </c>
      <c r="K8" s="79" t="str">
        <f t="shared" si="37"/>
        <v>#REF!</v>
      </c>
      <c r="L8" s="77"/>
      <c r="M8" s="78" t="str">
        <f t="shared" si="5"/>
        <v>#REF!</v>
      </c>
      <c r="N8" s="77"/>
      <c r="O8" s="78" t="str">
        <f t="shared" si="6"/>
        <v>#REF!</v>
      </c>
      <c r="P8" s="77"/>
      <c r="Q8" s="78" t="str">
        <f t="shared" si="7"/>
        <v>#REF!</v>
      </c>
      <c r="R8" s="77"/>
      <c r="S8" s="78" t="str">
        <f t="shared" si="8"/>
        <v>#REF!</v>
      </c>
      <c r="T8" s="77"/>
      <c r="U8" s="78" t="str">
        <f t="shared" si="9"/>
        <v>#REF!</v>
      </c>
      <c r="V8" s="77"/>
      <c r="W8" s="78" t="str">
        <f t="shared" si="10"/>
        <v>#REF!</v>
      </c>
      <c r="X8" s="77"/>
      <c r="Y8" s="78" t="str">
        <f t="shared" si="11"/>
        <v>#REF!</v>
      </c>
      <c r="Z8" s="77"/>
      <c r="AA8" s="78" t="str">
        <f t="shared" si="41"/>
        <v>#REF!</v>
      </c>
      <c r="AB8" s="77"/>
      <c r="AC8" s="78" t="str">
        <f t="shared" si="13"/>
        <v>#REF!</v>
      </c>
      <c r="AD8" s="77"/>
      <c r="AE8" s="78" t="str">
        <f t="shared" si="45"/>
        <v>#REF!</v>
      </c>
      <c r="AF8" s="77"/>
      <c r="AG8" s="78" t="str">
        <f t="shared" si="15"/>
        <v>#REF!</v>
      </c>
      <c r="AH8" s="77"/>
      <c r="AI8" s="78" t="str">
        <f t="shared" si="16"/>
        <v>#REF!</v>
      </c>
      <c r="AJ8" s="77"/>
      <c r="AK8" s="78" t="str">
        <f t="shared" si="46"/>
        <v>#REF!</v>
      </c>
      <c r="AL8" s="77"/>
      <c r="AM8" s="78" t="str">
        <f t="shared" si="18"/>
        <v>#REF!</v>
      </c>
      <c r="AN8" s="77"/>
      <c r="AO8" s="78" t="str">
        <f t="shared" si="42"/>
        <v>#REF!</v>
      </c>
      <c r="AP8" s="77"/>
      <c r="AQ8" s="77"/>
      <c r="AR8" s="77"/>
      <c r="AS8" s="78" t="str">
        <f t="shared" si="38"/>
        <v>#REF!</v>
      </c>
      <c r="AT8" s="77"/>
      <c r="AU8" s="78" t="str">
        <f t="shared" si="21"/>
        <v>#REF!</v>
      </c>
      <c r="AV8" s="77"/>
      <c r="AW8" s="78" t="str">
        <f t="shared" ref="AW8:AW12" si="48">CONCATENATE('Term Reference Guide (in-progress)'!B3," [",'Term Reference Guide (in-progress)'!C3,"]")</f>
        <v>#REF!</v>
      </c>
      <c r="AX8" s="77"/>
      <c r="AY8" s="78" t="str">
        <f t="shared" si="23"/>
        <v>#REF!</v>
      </c>
      <c r="AZ8" s="77"/>
      <c r="BA8" s="78" t="str">
        <f t="shared" si="24"/>
        <v>#REF!</v>
      </c>
      <c r="BB8" s="77"/>
      <c r="BC8" s="78" t="str">
        <f t="shared" si="25"/>
        <v>#REF!</v>
      </c>
      <c r="BE8" s="79" t="str">
        <f t="shared" si="40"/>
        <v>#REF!</v>
      </c>
      <c r="BF8" s="77"/>
      <c r="BG8" s="79" t="str">
        <f t="shared" si="43"/>
        <v>#REF!</v>
      </c>
      <c r="BH8" s="77"/>
      <c r="BI8" s="79" t="str">
        <f t="shared" si="47"/>
        <v>#REF!</v>
      </c>
      <c r="BJ8" s="77"/>
      <c r="BK8" s="79" t="str">
        <f t="shared" si="27"/>
        <v>#REF!</v>
      </c>
      <c r="BL8" s="77"/>
      <c r="BM8" s="79" t="str">
        <f t="shared" si="28"/>
        <v>#REF!</v>
      </c>
      <c r="BN8" s="77"/>
      <c r="BO8" s="79" t="s">
        <v>108</v>
      </c>
      <c r="BP8" s="77"/>
      <c r="BQ8" s="79" t="s">
        <v>108</v>
      </c>
      <c r="BR8" s="77"/>
      <c r="BS8" s="79" t="str">
        <f t="shared" si="31"/>
        <v>#REF!</v>
      </c>
      <c r="BT8" s="77"/>
      <c r="BU8" s="77" t="str">
        <f t="shared" si="32"/>
        <v>#REF!</v>
      </c>
      <c r="BV8" s="78"/>
      <c r="BX8" s="77"/>
    </row>
    <row r="9">
      <c r="A9" s="78" t="str">
        <f t="shared" si="1"/>
        <v>#REF!</v>
      </c>
      <c r="B9" s="77"/>
      <c r="C9" s="78" t="str">
        <f t="shared" si="39"/>
        <v>#REF!</v>
      </c>
      <c r="D9" s="77"/>
      <c r="E9" s="78" t="str">
        <f t="shared" si="44"/>
        <v>#REF!</v>
      </c>
      <c r="F9" s="77"/>
      <c r="G9" s="79" t="str">
        <f t="shared" si="4"/>
        <v>#REF!</v>
      </c>
      <c r="H9" s="77"/>
      <c r="I9" s="78" t="s">
        <v>109</v>
      </c>
      <c r="J9" s="77"/>
      <c r="L9" s="77"/>
      <c r="M9" s="78" t="str">
        <f t="shared" si="5"/>
        <v>#REF!</v>
      </c>
      <c r="N9" s="77"/>
      <c r="O9" s="78" t="str">
        <f t="shared" si="6"/>
        <v>#REF!</v>
      </c>
      <c r="P9" s="77"/>
      <c r="Q9" s="78" t="str">
        <f t="shared" si="7"/>
        <v>#REF!</v>
      </c>
      <c r="R9" s="77"/>
      <c r="S9" s="78" t="str">
        <f t="shared" si="8"/>
        <v>#REF!</v>
      </c>
      <c r="T9" s="77"/>
      <c r="U9" s="78" t="str">
        <f t="shared" si="9"/>
        <v>#REF!</v>
      </c>
      <c r="V9" s="77"/>
      <c r="W9" s="78" t="str">
        <f t="shared" si="10"/>
        <v>#REF!</v>
      </c>
      <c r="X9" s="78"/>
      <c r="Y9" s="78" t="str">
        <f t="shared" si="11"/>
        <v>#REF!</v>
      </c>
      <c r="Z9" s="77"/>
      <c r="AA9" s="78" t="str">
        <f t="shared" si="41"/>
        <v>#REF!</v>
      </c>
      <c r="AB9" s="77"/>
      <c r="AC9" s="78" t="str">
        <f t="shared" si="13"/>
        <v>#REF!</v>
      </c>
      <c r="AD9" s="77"/>
      <c r="AE9" s="78" t="str">
        <f t="shared" si="45"/>
        <v>#REF!</v>
      </c>
      <c r="AF9" s="77"/>
      <c r="AG9" s="78" t="str">
        <f t="shared" si="15"/>
        <v>#REF!</v>
      </c>
      <c r="AH9" s="77"/>
      <c r="AI9" s="78" t="str">
        <f t="shared" si="16"/>
        <v>#REF!</v>
      </c>
      <c r="AJ9" s="77"/>
      <c r="AK9" s="78" t="str">
        <f t="shared" si="46"/>
        <v>#REF!</v>
      </c>
      <c r="AL9" s="77"/>
      <c r="AM9" s="78" t="str">
        <f t="shared" ref="AM9:AM13" si="49">CONCATENATE('Term Reference Guide (in-progress)'!B3," [",'Term Reference Guide (in-progress)'!C3,"]")</f>
        <v>#REF!</v>
      </c>
      <c r="AN9" s="77"/>
      <c r="AO9" s="78" t="str">
        <f t="shared" si="42"/>
        <v>#REF!</v>
      </c>
      <c r="AP9" s="77"/>
      <c r="AQ9" s="77"/>
      <c r="AR9" s="77"/>
      <c r="AS9" s="77"/>
      <c r="AT9" s="77"/>
      <c r="AU9" s="78" t="str">
        <f t="shared" si="21"/>
        <v>#REF!</v>
      </c>
      <c r="AV9" s="77"/>
      <c r="AW9" s="78" t="str">
        <f t="shared" si="48"/>
        <v>#REF!</v>
      </c>
      <c r="AX9" s="77"/>
      <c r="AY9" s="78" t="str">
        <f t="shared" si="23"/>
        <v>#REF!</v>
      </c>
      <c r="AZ9" s="77"/>
      <c r="BA9" s="78" t="str">
        <f t="shared" si="24"/>
        <v>#REF!</v>
      </c>
      <c r="BB9" s="77"/>
      <c r="BC9" s="78" t="str">
        <f t="shared" si="25"/>
        <v>#REF!</v>
      </c>
      <c r="BE9" s="79" t="str">
        <f t="shared" si="40"/>
        <v>#REF!</v>
      </c>
      <c r="BF9" s="77"/>
      <c r="BG9" s="79" t="str">
        <f t="shared" si="43"/>
        <v>#REF!</v>
      </c>
      <c r="BH9" s="77"/>
      <c r="BI9" s="79" t="str">
        <f t="shared" si="47"/>
        <v>#REF!</v>
      </c>
      <c r="BJ9" s="77"/>
      <c r="BK9" s="79" t="str">
        <f t="shared" si="27"/>
        <v>#REF!</v>
      </c>
      <c r="BL9" s="77"/>
      <c r="BM9" s="79" t="str">
        <f t="shared" si="28"/>
        <v>#REF!</v>
      </c>
      <c r="BN9" s="77"/>
      <c r="BP9" s="77"/>
      <c r="BR9" s="77"/>
      <c r="BS9" s="79" t="str">
        <f t="shared" si="31"/>
        <v>#REF!</v>
      </c>
      <c r="BT9" s="77"/>
      <c r="BU9" s="77" t="str">
        <f t="shared" si="32"/>
        <v>#REF!</v>
      </c>
      <c r="BV9" s="78"/>
      <c r="BW9" s="77"/>
      <c r="BX9" s="77"/>
    </row>
    <row r="10">
      <c r="A10" s="78" t="str">
        <f t="shared" si="1"/>
        <v>#REF!</v>
      </c>
      <c r="B10" s="77"/>
      <c r="D10" s="77"/>
      <c r="E10" s="78" t="str">
        <f t="shared" si="44"/>
        <v>#REF!</v>
      </c>
      <c r="F10" s="77"/>
      <c r="G10" s="79" t="str">
        <f t="shared" si="4"/>
        <v>#REF!</v>
      </c>
      <c r="H10" s="77"/>
      <c r="I10" s="78" t="s">
        <v>110</v>
      </c>
      <c r="J10" s="77"/>
      <c r="L10" s="77"/>
      <c r="M10" s="78" t="str">
        <f t="shared" si="5"/>
        <v>#REF!</v>
      </c>
      <c r="N10" s="77"/>
      <c r="O10" s="78" t="str">
        <f t="shared" si="6"/>
        <v>#REF!</v>
      </c>
      <c r="P10" s="77"/>
      <c r="Q10" s="78" t="str">
        <f t="shared" ref="Q10:Q14" si="50">CONCATENATE('Term Reference Guide (in-progress)'!B3," [",'Term Reference Guide (in-progress)'!C3,"]")</f>
        <v>#REF!</v>
      </c>
      <c r="R10" s="77"/>
      <c r="S10" s="78" t="str">
        <f t="shared" si="8"/>
        <v>#REF!</v>
      </c>
      <c r="T10" s="77"/>
      <c r="U10" s="78" t="str">
        <f t="shared" si="9"/>
        <v>#REF!</v>
      </c>
      <c r="V10" s="77"/>
      <c r="W10" s="78" t="str">
        <f t="shared" si="10"/>
        <v>#REF!</v>
      </c>
      <c r="X10" s="77"/>
      <c r="Y10" s="78" t="str">
        <f t="shared" si="11"/>
        <v>#REF!</v>
      </c>
      <c r="Z10" s="77"/>
      <c r="AA10" s="78" t="str">
        <f t="shared" si="41"/>
        <v>#REF!</v>
      </c>
      <c r="AB10" s="77"/>
      <c r="AC10" s="78" t="str">
        <f t="shared" si="13"/>
        <v>#REF!</v>
      </c>
      <c r="AD10" s="77"/>
      <c r="AE10" s="78" t="str">
        <f t="shared" si="45"/>
        <v>#REF!</v>
      </c>
      <c r="AF10" s="77"/>
      <c r="AG10" s="78" t="str">
        <f t="shared" si="15"/>
        <v>#REF!</v>
      </c>
      <c r="AH10" s="77"/>
      <c r="AI10" s="78" t="str">
        <f t="shared" si="16"/>
        <v>#REF!</v>
      </c>
      <c r="AJ10" s="77"/>
      <c r="AK10" s="78" t="str">
        <f t="shared" si="46"/>
        <v>#REF!</v>
      </c>
      <c r="AL10" s="77"/>
      <c r="AM10" s="78" t="str">
        <f t="shared" si="49"/>
        <v>#REF!</v>
      </c>
      <c r="AN10" s="77"/>
      <c r="AO10" s="78" t="str">
        <f t="shared" si="42"/>
        <v>#REF!</v>
      </c>
      <c r="AP10" s="77"/>
      <c r="AQ10" s="77"/>
      <c r="AR10" s="77"/>
      <c r="AS10" s="77"/>
      <c r="AT10" s="77"/>
      <c r="AU10" s="78" t="str">
        <f t="shared" si="21"/>
        <v>#REF!</v>
      </c>
      <c r="AV10" s="77"/>
      <c r="AW10" s="78" t="str">
        <f t="shared" si="48"/>
        <v>#REF!</v>
      </c>
      <c r="AX10" s="77"/>
      <c r="AY10" s="78" t="str">
        <f t="shared" si="23"/>
        <v>#REF!</v>
      </c>
      <c r="AZ10" s="77"/>
      <c r="BA10" s="78" t="str">
        <f t="shared" si="24"/>
        <v>#REF!</v>
      </c>
      <c r="BB10" s="77"/>
      <c r="BC10" s="78" t="str">
        <f t="shared" si="25"/>
        <v>#REF!</v>
      </c>
      <c r="BE10" s="77"/>
      <c r="BF10" s="77"/>
      <c r="BG10" s="79" t="str">
        <f t="shared" si="43"/>
        <v>#REF!</v>
      </c>
      <c r="BH10" s="77"/>
      <c r="BI10" s="79" t="str">
        <f t="shared" si="47"/>
        <v>#REF!</v>
      </c>
      <c r="BJ10" s="77"/>
      <c r="BK10" s="79" t="str">
        <f t="shared" si="27"/>
        <v>#REF!</v>
      </c>
      <c r="BL10" s="77"/>
      <c r="BM10" s="79" t="str">
        <f t="shared" si="28"/>
        <v>#REF!</v>
      </c>
      <c r="BN10" s="77"/>
      <c r="BO10" s="77"/>
      <c r="BP10" s="77"/>
      <c r="BQ10" s="77"/>
      <c r="BR10" s="77"/>
      <c r="BS10" s="79" t="str">
        <f t="shared" si="31"/>
        <v>#REF!</v>
      </c>
      <c r="BT10" s="77"/>
      <c r="BU10" s="77" t="str">
        <f t="shared" si="32"/>
        <v>#REF!</v>
      </c>
      <c r="BV10" s="77"/>
      <c r="BW10" s="77"/>
      <c r="BX10" s="77"/>
    </row>
    <row r="11">
      <c r="A11" s="78" t="str">
        <f t="shared" si="1"/>
        <v>#REF!</v>
      </c>
      <c r="B11" s="77"/>
      <c r="C11" s="77"/>
      <c r="D11" s="77"/>
      <c r="E11" s="78" t="str">
        <f t="shared" si="44"/>
        <v>#REF!</v>
      </c>
      <c r="F11" s="77"/>
      <c r="G11" s="79" t="str">
        <f t="shared" si="4"/>
        <v>#REF!</v>
      </c>
      <c r="H11" s="77"/>
      <c r="I11" s="78" t="s">
        <v>111</v>
      </c>
      <c r="K11" s="77"/>
      <c r="L11" s="77"/>
      <c r="M11" s="78" t="str">
        <f t="shared" ref="M11:M15" si="51">CONCATENATE('Term Reference Guide (in-progress)'!B3," [",'Term Reference Guide (in-progress)'!C3,"]")</f>
        <v>#REF!</v>
      </c>
      <c r="N11" s="77"/>
      <c r="O11" s="78" t="str">
        <f t="shared" si="6"/>
        <v>#REF!</v>
      </c>
      <c r="P11" s="77"/>
      <c r="Q11" s="78" t="str">
        <f t="shared" si="50"/>
        <v>#REF!</v>
      </c>
      <c r="R11" s="77"/>
      <c r="S11" s="78" t="str">
        <f t="shared" si="8"/>
        <v>#REF!</v>
      </c>
      <c r="T11" s="77"/>
      <c r="U11" s="78" t="str">
        <f t="shared" si="9"/>
        <v>#REF!</v>
      </c>
      <c r="V11" s="77"/>
      <c r="W11" s="78" t="str">
        <f t="shared" si="10"/>
        <v>#REF!</v>
      </c>
      <c r="X11" s="77"/>
      <c r="Y11" s="78" t="str">
        <f t="shared" si="11"/>
        <v>#REF!</v>
      </c>
      <c r="Z11" s="77"/>
      <c r="AA11" s="77"/>
      <c r="AB11" s="77"/>
      <c r="AC11" s="78" t="str">
        <f t="shared" si="13"/>
        <v>#REF!</v>
      </c>
      <c r="AD11" s="77"/>
      <c r="AE11" s="78" t="str">
        <f t="shared" si="45"/>
        <v>#REF!</v>
      </c>
      <c r="AF11" s="77"/>
      <c r="AG11" s="78" t="str">
        <f t="shared" si="15"/>
        <v>#REF!</v>
      </c>
      <c r="AH11" s="77"/>
      <c r="AI11" s="78" t="str">
        <f t="shared" si="16"/>
        <v>#REF!</v>
      </c>
      <c r="AJ11" s="77"/>
      <c r="AK11" s="78" t="str">
        <f t="shared" si="46"/>
        <v>#REF!</v>
      </c>
      <c r="AL11" s="78"/>
      <c r="AM11" s="78" t="str">
        <f t="shared" si="49"/>
        <v>#REF!</v>
      </c>
      <c r="AP11" s="77"/>
      <c r="AU11" s="78" t="str">
        <f t="shared" si="21"/>
        <v>#REF!</v>
      </c>
      <c r="AV11" s="77"/>
      <c r="AW11" s="78" t="str">
        <f t="shared" si="48"/>
        <v>#REF!</v>
      </c>
      <c r="AX11" s="77"/>
      <c r="AY11" s="78" t="str">
        <f t="shared" si="23"/>
        <v>#REF!</v>
      </c>
      <c r="AZ11" s="77"/>
      <c r="BA11" s="78" t="str">
        <f t="shared" si="24"/>
        <v>#REF!</v>
      </c>
      <c r="BB11" s="77"/>
      <c r="BC11" s="78" t="str">
        <f t="shared" si="25"/>
        <v>#REF!</v>
      </c>
      <c r="BD11" s="77"/>
      <c r="BG11" s="79" t="str">
        <f t="shared" si="43"/>
        <v>#REF!</v>
      </c>
      <c r="BI11" s="79" t="str">
        <f t="shared" si="47"/>
        <v>#REF!</v>
      </c>
      <c r="BJ11" s="77"/>
      <c r="BK11" s="79" t="str">
        <f t="shared" si="27"/>
        <v>#REF!</v>
      </c>
      <c r="BL11" s="77"/>
      <c r="BM11" s="79" t="str">
        <f t="shared" si="28"/>
        <v>#REF!</v>
      </c>
      <c r="BP11" s="77"/>
      <c r="BS11" s="79" t="str">
        <f t="shared" si="31"/>
        <v>#REF!</v>
      </c>
      <c r="BT11" s="77"/>
      <c r="BU11" s="77" t="str">
        <f t="shared" si="32"/>
        <v>#REF!</v>
      </c>
      <c r="BV11" s="77"/>
      <c r="BW11" s="77"/>
      <c r="BX11" s="77"/>
    </row>
    <row r="12">
      <c r="A12" s="78" t="str">
        <f t="shared" si="1"/>
        <v>#REF!</v>
      </c>
      <c r="B12" s="77"/>
      <c r="C12" s="77"/>
      <c r="D12" s="77"/>
      <c r="F12" s="77"/>
      <c r="G12" s="79" t="str">
        <f t="shared" si="4"/>
        <v>#REF!</v>
      </c>
      <c r="H12" s="77"/>
      <c r="I12" s="78" t="s">
        <v>112</v>
      </c>
      <c r="K12" s="77"/>
      <c r="L12" s="77"/>
      <c r="M12" s="78" t="str">
        <f t="shared" si="51"/>
        <v>#REF!</v>
      </c>
      <c r="N12" s="77"/>
      <c r="O12" s="78" t="str">
        <f t="shared" si="6"/>
        <v>#REF!</v>
      </c>
      <c r="P12" s="77"/>
      <c r="Q12" s="78" t="str">
        <f t="shared" si="50"/>
        <v>#REF!</v>
      </c>
      <c r="R12" s="77"/>
      <c r="S12" s="78" t="str">
        <f t="shared" si="8"/>
        <v>#REF!</v>
      </c>
      <c r="T12" s="77"/>
      <c r="U12" s="78" t="str">
        <f t="shared" si="9"/>
        <v>#REF!</v>
      </c>
      <c r="V12" s="77"/>
      <c r="W12" s="78" t="str">
        <f t="shared" si="10"/>
        <v>#REF!</v>
      </c>
      <c r="X12" s="77"/>
      <c r="Y12" s="78" t="str">
        <f t="shared" si="11"/>
        <v>#REF!</v>
      </c>
      <c r="Z12" s="77"/>
      <c r="AA12" s="77"/>
      <c r="AB12" s="77"/>
      <c r="AC12" s="78" t="str">
        <f t="shared" si="13"/>
        <v>#REF!</v>
      </c>
      <c r="AD12" s="77"/>
      <c r="AF12" s="77"/>
      <c r="AG12" s="78" t="str">
        <f t="shared" si="15"/>
        <v>#REF!</v>
      </c>
      <c r="AH12" s="77"/>
      <c r="AI12" s="78" t="str">
        <f t="shared" si="16"/>
        <v>#REF!</v>
      </c>
      <c r="AJ12" s="77"/>
      <c r="AM12" s="78" t="str">
        <f t="shared" si="49"/>
        <v>#REF!</v>
      </c>
      <c r="AP12" s="77"/>
      <c r="AU12" s="78" t="str">
        <f t="shared" si="21"/>
        <v>#REF!</v>
      </c>
      <c r="AV12" s="77"/>
      <c r="AW12" s="78" t="str">
        <f t="shared" si="48"/>
        <v>#REF!</v>
      </c>
      <c r="AX12" s="77"/>
      <c r="AY12" s="78" t="str">
        <f t="shared" si="23"/>
        <v>#REF!</v>
      </c>
      <c r="AZ12" s="77"/>
      <c r="BA12" s="78" t="str">
        <f t="shared" si="24"/>
        <v>#REF!</v>
      </c>
      <c r="BB12" s="77"/>
      <c r="BC12" s="78" t="str">
        <f t="shared" si="25"/>
        <v>#REF!</v>
      </c>
      <c r="BD12" s="77"/>
      <c r="BG12" s="79" t="str">
        <f t="shared" si="43"/>
        <v>#REF!</v>
      </c>
      <c r="BJ12" s="77"/>
      <c r="BK12" s="79" t="str">
        <f t="shared" si="27"/>
        <v>#REF!</v>
      </c>
      <c r="BL12" s="77"/>
      <c r="BM12" s="79" t="str">
        <f t="shared" si="28"/>
        <v>#REF!</v>
      </c>
      <c r="BP12" s="77"/>
      <c r="BS12" s="79" t="str">
        <f t="shared" si="31"/>
        <v>#REF!</v>
      </c>
      <c r="BT12" s="77"/>
      <c r="BU12" s="77" t="str">
        <f t="shared" si="32"/>
        <v>#REF!</v>
      </c>
      <c r="BV12" s="77"/>
      <c r="BW12" s="77"/>
      <c r="BX12" s="77"/>
    </row>
    <row r="13">
      <c r="A13" s="78" t="str">
        <f t="shared" si="1"/>
        <v>#REF!</v>
      </c>
      <c r="B13" s="77"/>
      <c r="C13" s="77"/>
      <c r="D13" s="77"/>
      <c r="E13" s="78"/>
      <c r="F13" s="77"/>
      <c r="G13" s="79" t="str">
        <f t="shared" si="4"/>
        <v>#REF!</v>
      </c>
      <c r="H13" s="77"/>
      <c r="I13" s="78" t="s">
        <v>113</v>
      </c>
      <c r="J13" s="77"/>
      <c r="K13" s="77"/>
      <c r="L13" s="77"/>
      <c r="M13" s="78" t="str">
        <f t="shared" si="51"/>
        <v>#REF!</v>
      </c>
      <c r="N13" s="77"/>
      <c r="O13" s="78" t="str">
        <f t="shared" si="6"/>
        <v>#REF!</v>
      </c>
      <c r="P13" s="77"/>
      <c r="Q13" s="78" t="str">
        <f t="shared" si="50"/>
        <v>#REF!</v>
      </c>
      <c r="R13" s="77"/>
      <c r="S13" s="78" t="str">
        <f t="shared" si="8"/>
        <v>#REF!</v>
      </c>
      <c r="T13" s="77"/>
      <c r="U13" s="78" t="str">
        <f t="shared" si="9"/>
        <v>#REF!</v>
      </c>
      <c r="V13" s="77"/>
      <c r="W13" s="78" t="str">
        <f t="shared" si="10"/>
        <v>#REF!</v>
      </c>
      <c r="X13" s="77"/>
      <c r="Y13" s="78" t="str">
        <f t="shared" si="11"/>
        <v>#REF!</v>
      </c>
      <c r="Z13" s="77"/>
      <c r="AA13" s="77"/>
      <c r="AB13" s="77"/>
      <c r="AC13" s="78" t="str">
        <f t="shared" si="13"/>
        <v>#REF!</v>
      </c>
      <c r="AD13" s="77"/>
      <c r="AF13" s="77"/>
      <c r="AG13" s="78" t="str">
        <f t="shared" si="15"/>
        <v>#REF!</v>
      </c>
      <c r="AH13" s="77"/>
      <c r="AI13" s="78" t="str">
        <f t="shared" si="16"/>
        <v>#REF!</v>
      </c>
      <c r="AJ13" s="76"/>
      <c r="AK13" s="78"/>
      <c r="AL13" s="78"/>
      <c r="AM13" s="78" t="str">
        <f t="shared" si="49"/>
        <v>#REF!</v>
      </c>
      <c r="AN13" s="77"/>
      <c r="AO13" s="77"/>
      <c r="AP13" s="77"/>
      <c r="AQ13" s="77"/>
      <c r="AR13" s="77"/>
      <c r="AS13" s="77"/>
      <c r="AT13" s="77"/>
      <c r="AU13" s="78" t="str">
        <f t="shared" ref="AU13:AU17" si="52">CONCATENATE('Term Reference Guide (in-progress)'!B3," [",'Term Reference Guide (in-progress)'!C3,"]")</f>
        <v>#REF!</v>
      </c>
      <c r="AV13" s="77"/>
      <c r="AX13" s="77"/>
      <c r="AY13" s="78" t="str">
        <f t="shared" si="23"/>
        <v>#REF!</v>
      </c>
      <c r="AZ13" s="77"/>
      <c r="BA13" s="78" t="str">
        <f t="shared" si="24"/>
        <v>#REF!</v>
      </c>
      <c r="BB13" s="77"/>
      <c r="BC13" s="78" t="str">
        <f t="shared" si="25"/>
        <v>#REF!</v>
      </c>
      <c r="BD13" s="77"/>
      <c r="BE13" s="77"/>
      <c r="BF13" s="77"/>
      <c r="BG13" s="79" t="str">
        <f t="shared" si="43"/>
        <v>#REF!</v>
      </c>
      <c r="BH13" s="77"/>
      <c r="BI13" s="77"/>
      <c r="BJ13" s="77"/>
      <c r="BK13" s="79" t="str">
        <f t="shared" ref="BK13:BK16" si="53">CONCATENATE('Term Reference Guide (in-progress)'!B732," [",'Term Reference Guide (in-progress)'!C732,"]")</f>
        <v>#REF!</v>
      </c>
      <c r="BL13" s="77"/>
      <c r="BM13" s="79" t="str">
        <f t="shared" si="28"/>
        <v>#REF!</v>
      </c>
      <c r="BN13" s="77"/>
      <c r="BO13" s="77"/>
      <c r="BP13" s="77"/>
      <c r="BQ13" s="77"/>
      <c r="BR13" s="77"/>
      <c r="BS13" s="79" t="str">
        <f t="shared" si="31"/>
        <v>#REF!</v>
      </c>
      <c r="BT13" s="77"/>
      <c r="BU13" s="77" t="str">
        <f t="shared" si="32"/>
        <v>#REF!</v>
      </c>
      <c r="BV13" s="77"/>
      <c r="BW13" s="77"/>
      <c r="BX13" s="77"/>
    </row>
    <row r="14">
      <c r="A14" s="78" t="str">
        <f t="shared" si="1"/>
        <v>#REF!</v>
      </c>
      <c r="B14" s="77"/>
      <c r="C14" s="77"/>
      <c r="D14" s="77"/>
      <c r="E14" s="78"/>
      <c r="F14" s="77"/>
      <c r="G14" s="79" t="str">
        <f t="shared" si="4"/>
        <v>#REF!</v>
      </c>
      <c r="H14" s="77"/>
      <c r="I14" s="78" t="s">
        <v>114</v>
      </c>
      <c r="J14" s="77"/>
      <c r="K14" s="77"/>
      <c r="L14" s="77"/>
      <c r="M14" s="78" t="str">
        <f t="shared" si="51"/>
        <v>#REF!</v>
      </c>
      <c r="N14" s="77"/>
      <c r="O14" s="78" t="str">
        <f t="shared" si="6"/>
        <v>#REF!</v>
      </c>
      <c r="P14" s="77"/>
      <c r="Q14" s="78" t="str">
        <f t="shared" si="50"/>
        <v>#REF!</v>
      </c>
      <c r="R14" s="77"/>
      <c r="S14" s="78" t="str">
        <f t="shared" si="8"/>
        <v>#REF!</v>
      </c>
      <c r="T14" s="77"/>
      <c r="U14" s="78" t="str">
        <f t="shared" si="9"/>
        <v>#REF!</v>
      </c>
      <c r="V14" s="77"/>
      <c r="W14" s="78" t="str">
        <f t="shared" si="10"/>
        <v>#REF!</v>
      </c>
      <c r="X14" s="77"/>
      <c r="Y14" s="78" t="str">
        <f t="shared" si="11"/>
        <v>#REF!</v>
      </c>
      <c r="Z14" s="77"/>
      <c r="AA14" s="77"/>
      <c r="AB14" s="77"/>
      <c r="AC14" s="78" t="str">
        <f t="shared" si="13"/>
        <v>#REF!</v>
      </c>
      <c r="AD14" s="77"/>
      <c r="AF14" s="77"/>
      <c r="AG14" s="78" t="str">
        <f t="shared" si="15"/>
        <v>#REF!</v>
      </c>
      <c r="AH14" s="77"/>
      <c r="AI14" s="78" t="str">
        <f t="shared" si="16"/>
        <v>#REF!</v>
      </c>
      <c r="AJ14" s="76"/>
      <c r="AK14" s="78"/>
      <c r="AL14" s="78"/>
      <c r="AM14" s="78"/>
      <c r="AN14" s="77"/>
      <c r="AO14" s="77"/>
      <c r="AP14" s="77"/>
      <c r="AQ14" s="77"/>
      <c r="AR14" s="77"/>
      <c r="AS14" s="77"/>
      <c r="AT14" s="77"/>
      <c r="AU14" s="78" t="str">
        <f t="shared" si="52"/>
        <v>#REF!</v>
      </c>
      <c r="AV14" s="77"/>
      <c r="AW14" s="77"/>
      <c r="AX14" s="77"/>
      <c r="AY14" s="78" t="str">
        <f t="shared" si="23"/>
        <v>#REF!</v>
      </c>
      <c r="AZ14" s="77"/>
      <c r="BA14" s="78" t="str">
        <f t="shared" si="24"/>
        <v>#REF!</v>
      </c>
      <c r="BB14" s="77"/>
      <c r="BC14" s="78" t="str">
        <f t="shared" si="25"/>
        <v>#REF!</v>
      </c>
      <c r="BD14" s="77"/>
      <c r="BE14" s="77"/>
      <c r="BF14" s="77"/>
      <c r="BG14" s="79" t="str">
        <f t="shared" si="43"/>
        <v>#REF!</v>
      </c>
      <c r="BH14" s="77"/>
      <c r="BI14" s="77"/>
      <c r="BJ14" s="77"/>
      <c r="BK14" s="79" t="str">
        <f t="shared" si="53"/>
        <v>#REF!</v>
      </c>
      <c r="BL14" s="77"/>
      <c r="BM14" s="79" t="str">
        <f t="shared" si="28"/>
        <v>#REF!</v>
      </c>
      <c r="BN14" s="77"/>
      <c r="BO14" s="77"/>
      <c r="BP14" s="77"/>
      <c r="BQ14" s="77"/>
      <c r="BR14" s="77"/>
      <c r="BS14" s="79" t="str">
        <f t="shared" si="31"/>
        <v>#REF!</v>
      </c>
      <c r="BT14" s="77"/>
      <c r="BU14" s="77" t="str">
        <f t="shared" si="32"/>
        <v>#REF!</v>
      </c>
      <c r="BV14" s="77"/>
      <c r="BW14" s="77"/>
      <c r="BX14" s="77"/>
    </row>
    <row r="15">
      <c r="A15" s="78" t="str">
        <f t="shared" si="1"/>
        <v>#REF!</v>
      </c>
      <c r="B15" s="77"/>
      <c r="C15" s="77"/>
      <c r="D15" s="77"/>
      <c r="F15" s="77"/>
      <c r="G15" s="79" t="str">
        <f t="shared" si="4"/>
        <v>#REF!</v>
      </c>
      <c r="H15" s="77"/>
      <c r="I15" s="78" t="s">
        <v>115</v>
      </c>
      <c r="J15" s="77"/>
      <c r="K15" s="77"/>
      <c r="L15" s="77"/>
      <c r="M15" s="78" t="str">
        <f t="shared" si="51"/>
        <v>#REF!</v>
      </c>
      <c r="N15" s="77"/>
      <c r="O15" s="78" t="str">
        <f t="shared" si="6"/>
        <v>#REF!</v>
      </c>
      <c r="P15" s="77"/>
      <c r="R15" s="77"/>
      <c r="S15" s="78" t="str">
        <f t="shared" si="8"/>
        <v>#REF!</v>
      </c>
      <c r="T15" s="77"/>
      <c r="U15" s="78" t="str">
        <f t="shared" si="9"/>
        <v>#REF!</v>
      </c>
      <c r="V15" s="77"/>
      <c r="W15" s="78" t="str">
        <f t="shared" si="10"/>
        <v>#REF!</v>
      </c>
      <c r="X15" s="77"/>
      <c r="Y15" s="78" t="str">
        <f t="shared" si="11"/>
        <v>#REF!</v>
      </c>
      <c r="Z15" s="77"/>
      <c r="AA15" s="77"/>
      <c r="AB15" s="77"/>
      <c r="AC15" s="78" t="str">
        <f t="shared" si="13"/>
        <v>#REF!</v>
      </c>
      <c r="AD15" s="77"/>
      <c r="AF15" s="77"/>
      <c r="AG15" s="78" t="str">
        <f t="shared" ref="AG15:AG19" si="54">CONCATENATE('Term Reference Guide (in-progress)'!B3," [",'Term Reference Guide (in-progress)'!C3,"]")</f>
        <v>#REF!</v>
      </c>
      <c r="AH15" s="77"/>
      <c r="AI15" s="78" t="str">
        <f t="shared" si="16"/>
        <v>#REF!</v>
      </c>
      <c r="AJ15" s="76"/>
      <c r="AN15" s="77"/>
      <c r="AO15" s="77"/>
      <c r="AP15" s="77"/>
      <c r="AQ15" s="77"/>
      <c r="AR15" s="77"/>
      <c r="AS15" s="77"/>
      <c r="AT15" s="77"/>
      <c r="AU15" s="78" t="str">
        <f t="shared" si="52"/>
        <v>#REF!</v>
      </c>
      <c r="AV15" s="77"/>
      <c r="AW15" s="77"/>
      <c r="AX15" s="77"/>
      <c r="AY15" s="78" t="str">
        <f t="shared" si="23"/>
        <v>#REF!</v>
      </c>
      <c r="AZ15" s="77"/>
      <c r="BA15" s="78" t="str">
        <f t="shared" si="24"/>
        <v>#REF!</v>
      </c>
      <c r="BB15" s="77"/>
      <c r="BC15" s="78" t="str">
        <f t="shared" si="25"/>
        <v>#REF!</v>
      </c>
      <c r="BD15" s="77"/>
      <c r="BE15" s="77"/>
      <c r="BF15" s="77"/>
      <c r="BG15" s="79" t="str">
        <f t="shared" si="43"/>
        <v>#REF!</v>
      </c>
      <c r="BH15" s="77"/>
      <c r="BI15" s="77"/>
      <c r="BJ15" s="77"/>
      <c r="BK15" s="79" t="str">
        <f t="shared" si="53"/>
        <v>#REF!</v>
      </c>
      <c r="BL15" s="77"/>
      <c r="BM15" s="79" t="str">
        <f t="shared" si="28"/>
        <v>#REF!</v>
      </c>
      <c r="BN15" s="77"/>
      <c r="BO15" s="77"/>
      <c r="BP15" s="77"/>
      <c r="BQ15" s="77"/>
      <c r="BR15" s="77"/>
      <c r="BS15" s="79" t="str">
        <f t="shared" si="31"/>
        <v>#REF!</v>
      </c>
      <c r="BT15" s="77"/>
      <c r="BU15" s="77" t="str">
        <f t="shared" si="32"/>
        <v>#REF!</v>
      </c>
      <c r="BV15" s="77"/>
      <c r="BW15" s="77"/>
      <c r="BX15" s="77"/>
    </row>
    <row r="16">
      <c r="A16" s="78" t="str">
        <f t="shared" si="1"/>
        <v>#REF!</v>
      </c>
      <c r="B16" s="77"/>
      <c r="C16" s="77"/>
      <c r="D16" s="77"/>
      <c r="E16" s="77"/>
      <c r="F16" s="77"/>
      <c r="G16" s="79" t="str">
        <f t="shared" si="4"/>
        <v>#REF!</v>
      </c>
      <c r="H16" s="77"/>
      <c r="I16" s="78" t="s">
        <v>116</v>
      </c>
      <c r="J16" s="77"/>
      <c r="K16" s="77"/>
      <c r="L16" s="77"/>
      <c r="M16" s="78"/>
      <c r="N16" s="77"/>
      <c r="O16" s="78" t="str">
        <f t="shared" si="6"/>
        <v>#REF!</v>
      </c>
      <c r="P16" s="77"/>
      <c r="R16" s="77"/>
      <c r="S16" s="78" t="str">
        <f t="shared" si="8"/>
        <v>#REF!</v>
      </c>
      <c r="T16" s="77"/>
      <c r="U16" s="78" t="str">
        <f t="shared" si="9"/>
        <v>#REF!</v>
      </c>
      <c r="V16" s="77"/>
      <c r="W16" s="78" t="str">
        <f t="shared" si="10"/>
        <v>#REF!</v>
      </c>
      <c r="X16" s="77"/>
      <c r="Y16" s="78" t="str">
        <f t="shared" si="11"/>
        <v>#REF!</v>
      </c>
      <c r="Z16" s="77"/>
      <c r="AA16" s="77"/>
      <c r="AB16" s="77"/>
      <c r="AC16" s="78" t="str">
        <f t="shared" si="13"/>
        <v>#REF!</v>
      </c>
      <c r="AD16" s="77"/>
      <c r="AF16" s="77"/>
      <c r="AG16" s="78" t="str">
        <f t="shared" si="54"/>
        <v>#REF!</v>
      </c>
      <c r="AH16" s="77"/>
      <c r="AI16" s="78" t="str">
        <f t="shared" si="16"/>
        <v>#REF!</v>
      </c>
      <c r="AJ16" s="77"/>
      <c r="AK16" s="77"/>
      <c r="AL16" s="77"/>
      <c r="AM16" s="78"/>
      <c r="AN16" s="77"/>
      <c r="AO16" s="77"/>
      <c r="AP16" s="77"/>
      <c r="AQ16" s="77"/>
      <c r="AR16" s="77"/>
      <c r="AS16" s="77"/>
      <c r="AT16" s="77"/>
      <c r="AU16" s="78" t="str">
        <f t="shared" si="52"/>
        <v>#REF!</v>
      </c>
      <c r="AV16" s="77"/>
      <c r="AW16" s="77"/>
      <c r="AX16" s="77"/>
      <c r="AY16" s="78" t="str">
        <f t="shared" si="23"/>
        <v>#REF!</v>
      </c>
      <c r="AZ16" s="78"/>
      <c r="BA16" s="78" t="str">
        <f t="shared" si="24"/>
        <v>#REF!</v>
      </c>
      <c r="BB16" s="77"/>
      <c r="BC16" s="78" t="str">
        <f t="shared" si="25"/>
        <v>#REF!</v>
      </c>
      <c r="BD16" s="77"/>
      <c r="BE16" s="77"/>
      <c r="BF16" s="77"/>
      <c r="BG16" s="79" t="str">
        <f t="shared" si="43"/>
        <v>#REF!</v>
      </c>
      <c r="BH16" s="77"/>
      <c r="BI16" s="77"/>
      <c r="BJ16" s="77"/>
      <c r="BK16" s="79" t="str">
        <f t="shared" si="53"/>
        <v>#REF!</v>
      </c>
      <c r="BL16" s="77"/>
      <c r="BM16" s="79" t="str">
        <f t="shared" si="28"/>
        <v>#REF!</v>
      </c>
      <c r="BN16" s="77"/>
      <c r="BO16" s="77"/>
      <c r="BP16" s="77"/>
      <c r="BQ16" s="77"/>
      <c r="BR16" s="77"/>
      <c r="BS16" s="79" t="str">
        <f t="shared" si="31"/>
        <v>#REF!</v>
      </c>
      <c r="BT16" s="77"/>
      <c r="BU16" s="77" t="str">
        <f t="shared" si="32"/>
        <v>#REF!</v>
      </c>
      <c r="BV16" s="77"/>
      <c r="BW16" s="77"/>
      <c r="BX16" s="77"/>
    </row>
    <row r="17">
      <c r="A17" s="78" t="str">
        <f t="shared" si="1"/>
        <v>#REF!</v>
      </c>
      <c r="B17" s="77"/>
      <c r="D17" s="77"/>
      <c r="E17" s="77"/>
      <c r="F17" s="77"/>
      <c r="G17" s="79" t="str">
        <f t="shared" si="4"/>
        <v>#REF!</v>
      </c>
      <c r="H17" s="77"/>
      <c r="I17" s="78"/>
      <c r="J17" s="77"/>
      <c r="K17" s="77"/>
      <c r="L17" s="77"/>
      <c r="M17" s="78"/>
      <c r="N17" s="77"/>
      <c r="O17" s="78" t="str">
        <f t="shared" si="6"/>
        <v>#REF!</v>
      </c>
      <c r="P17" s="77"/>
      <c r="Q17" s="78"/>
      <c r="R17" s="77"/>
      <c r="S17" s="78" t="str">
        <f t="shared" si="8"/>
        <v>#REF!</v>
      </c>
      <c r="T17" s="77"/>
      <c r="U17" s="78" t="str">
        <f t="shared" si="9"/>
        <v>#REF!</v>
      </c>
      <c r="V17" s="77"/>
      <c r="W17" s="78" t="str">
        <f t="shared" si="10"/>
        <v>#REF!</v>
      </c>
      <c r="X17" s="77"/>
      <c r="Y17" s="78" t="str">
        <f t="shared" si="11"/>
        <v>#REF!</v>
      </c>
      <c r="Z17" s="77"/>
      <c r="AA17" s="77"/>
      <c r="AB17" s="77"/>
      <c r="AC17" s="78" t="str">
        <f t="shared" si="13"/>
        <v>#REF!</v>
      </c>
      <c r="AD17" s="77"/>
      <c r="AE17" s="77"/>
      <c r="AF17" s="77"/>
      <c r="AG17" s="78" t="str">
        <f t="shared" si="54"/>
        <v>#REF!</v>
      </c>
      <c r="AH17" s="77"/>
      <c r="AI17" s="78" t="str">
        <f t="shared" si="16"/>
        <v>#REF!</v>
      </c>
      <c r="AJ17" s="77"/>
      <c r="AK17" s="77"/>
      <c r="AL17" s="77"/>
      <c r="AM17" s="78"/>
      <c r="AN17" s="77"/>
      <c r="AO17" s="77"/>
      <c r="AP17" s="77"/>
      <c r="AQ17" s="77"/>
      <c r="AR17" s="77"/>
      <c r="AS17" s="77"/>
      <c r="AT17" s="77"/>
      <c r="AU17" s="78" t="str">
        <f t="shared" si="52"/>
        <v>#REF!</v>
      </c>
      <c r="AV17" s="77"/>
      <c r="AW17" s="77"/>
      <c r="AX17" s="77"/>
      <c r="AY17" s="78" t="str">
        <f t="shared" si="23"/>
        <v>#REF!</v>
      </c>
      <c r="AZ17" s="77"/>
      <c r="BA17" s="78" t="str">
        <f t="shared" si="24"/>
        <v>#REF!</v>
      </c>
      <c r="BB17" s="77"/>
      <c r="BC17" s="78" t="str">
        <f t="shared" si="25"/>
        <v>#REF!</v>
      </c>
      <c r="BD17" s="77"/>
      <c r="BE17" s="77"/>
      <c r="BF17" s="77"/>
      <c r="BG17" s="79" t="str">
        <f t="shared" ref="BG17:BG21" si="55">CONCATENATE('Term Reference Guide (in-progress)'!B3," [",'Term Reference Guide (in-progress)'!C3,"]")</f>
        <v>#REF!</v>
      </c>
      <c r="BH17" s="77"/>
      <c r="BI17" s="77"/>
      <c r="BJ17" s="77"/>
      <c r="BK17" s="79" t="str">
        <f>CONCATENATE('Term Reference Guide (in-progress)'!B742," [",'Term Reference Guide (in-progress)'!C742,"]")</f>
        <v>#REF!</v>
      </c>
      <c r="BL17" s="77"/>
      <c r="BM17" s="79" t="str">
        <f t="shared" si="28"/>
        <v>#REF!</v>
      </c>
      <c r="BN17" s="77"/>
      <c r="BO17" s="77"/>
      <c r="BP17" s="77"/>
      <c r="BQ17" s="77"/>
      <c r="BR17" s="77"/>
      <c r="BS17" s="79" t="str">
        <f t="shared" si="31"/>
        <v>#REF!</v>
      </c>
      <c r="BT17" s="77"/>
      <c r="BU17" s="77" t="str">
        <f t="shared" si="32"/>
        <v>#REF!</v>
      </c>
      <c r="BV17" s="77"/>
      <c r="BW17" s="77"/>
      <c r="BX17" s="77"/>
    </row>
    <row r="18">
      <c r="A18" s="78" t="str">
        <f t="shared" si="1"/>
        <v>#REF!</v>
      </c>
      <c r="B18" s="77"/>
      <c r="D18" s="77"/>
      <c r="E18" s="77"/>
      <c r="F18" s="77"/>
      <c r="G18" s="79" t="str">
        <f t="shared" si="4"/>
        <v>#REF!</v>
      </c>
      <c r="H18" s="77"/>
      <c r="I18" s="78"/>
      <c r="J18" s="77"/>
      <c r="K18" s="77"/>
      <c r="L18" s="77"/>
      <c r="M18" s="78"/>
      <c r="N18" s="77"/>
      <c r="O18" s="78" t="str">
        <f t="shared" si="6"/>
        <v>#REF!</v>
      </c>
      <c r="P18" s="77"/>
      <c r="Q18" s="78"/>
      <c r="R18" s="77"/>
      <c r="S18" s="78" t="str">
        <f t="shared" si="8"/>
        <v>#REF!</v>
      </c>
      <c r="T18" s="77"/>
      <c r="U18" s="78" t="str">
        <f t="shared" si="9"/>
        <v>#REF!</v>
      </c>
      <c r="V18" s="77"/>
      <c r="W18" s="78" t="str">
        <f t="shared" si="10"/>
        <v>#REF!</v>
      </c>
      <c r="X18" s="77"/>
      <c r="Y18" s="78" t="str">
        <f t="shared" si="11"/>
        <v>#REF!</v>
      </c>
      <c r="Z18" s="78"/>
      <c r="AA18" s="77"/>
      <c r="AB18" s="77"/>
      <c r="AC18" s="78" t="str">
        <f t="shared" ref="AC18:AC22" si="56">CONCATENATE('Term Reference Guide (in-progress)'!B3," [",'Term Reference Guide (in-progress)'!C3,"]")</f>
        <v>#REF!</v>
      </c>
      <c r="AD18" s="77"/>
      <c r="AE18" s="77"/>
      <c r="AF18" s="77"/>
      <c r="AG18" s="78" t="str">
        <f t="shared" si="54"/>
        <v>#REF!</v>
      </c>
      <c r="AH18" s="77"/>
      <c r="AI18" s="78" t="str">
        <f t="shared" ref="AI18:AI22" si="57">CONCATENATE('Term Reference Guide (in-progress)'!B3," [",'Term Reference Guide (in-progress)'!C3,"]")</f>
        <v>#REF!</v>
      </c>
      <c r="AJ18" s="77"/>
      <c r="AK18" s="77"/>
      <c r="AL18" s="77"/>
      <c r="AM18" s="78"/>
      <c r="AN18" s="77"/>
      <c r="AO18" s="77"/>
      <c r="AP18" s="77"/>
      <c r="AQ18" s="77"/>
      <c r="AR18" s="77"/>
      <c r="AS18" s="77"/>
      <c r="AT18" s="77"/>
      <c r="AU18" s="78"/>
      <c r="AV18" s="77"/>
      <c r="AW18" s="78"/>
      <c r="AX18" s="77"/>
      <c r="AY18" s="78" t="str">
        <f t="shared" si="23"/>
        <v>#REF!</v>
      </c>
      <c r="AZ18" s="77"/>
      <c r="BA18" s="78" t="str">
        <f t="shared" si="24"/>
        <v>#REF!</v>
      </c>
      <c r="BB18" s="77"/>
      <c r="BC18" s="78" t="str">
        <f t="shared" si="25"/>
        <v>#REF!</v>
      </c>
      <c r="BD18" s="77"/>
      <c r="BE18" s="77"/>
      <c r="BF18" s="77"/>
      <c r="BG18" s="79" t="str">
        <f t="shared" si="55"/>
        <v>#REF!</v>
      </c>
      <c r="BH18" s="77"/>
      <c r="BI18" s="77"/>
      <c r="BJ18" s="77"/>
      <c r="BK18" s="79" t="str">
        <f>CONCATENATE('Term Reference Guide (in-progress)'!B744," [",'Term Reference Guide (in-progress)'!C744,"]")</f>
        <v>#REF!</v>
      </c>
      <c r="BL18" s="77"/>
      <c r="BM18" s="79" t="str">
        <f t="shared" si="28"/>
        <v>#REF!</v>
      </c>
      <c r="BN18" s="77"/>
      <c r="BO18" s="77"/>
      <c r="BP18" s="77"/>
      <c r="BQ18" s="77"/>
      <c r="BR18" s="77"/>
      <c r="BS18" s="79" t="str">
        <f t="shared" si="31"/>
        <v>#REF!</v>
      </c>
      <c r="BT18" s="77"/>
      <c r="BU18" s="77" t="str">
        <f t="shared" si="32"/>
        <v>#REF!</v>
      </c>
      <c r="BV18" s="77"/>
      <c r="BW18" s="77"/>
      <c r="BX18" s="77"/>
    </row>
    <row r="19">
      <c r="A19" s="78" t="str">
        <f t="shared" si="1"/>
        <v>#REF!</v>
      </c>
      <c r="B19" s="77"/>
      <c r="D19" s="77"/>
      <c r="E19" s="77"/>
      <c r="F19" s="77"/>
      <c r="G19" s="79" t="str">
        <f t="shared" si="4"/>
        <v>#REF!</v>
      </c>
      <c r="H19" s="77"/>
      <c r="I19" s="78"/>
      <c r="J19" s="77"/>
      <c r="K19" s="77"/>
      <c r="L19" s="77"/>
      <c r="M19" s="78"/>
      <c r="N19" s="77"/>
      <c r="O19" s="78" t="str">
        <f t="shared" si="6"/>
        <v>#REF!</v>
      </c>
      <c r="P19" s="77"/>
      <c r="Q19" s="78"/>
      <c r="R19" s="77"/>
      <c r="S19" s="78" t="str">
        <f t="shared" si="8"/>
        <v>#REF!</v>
      </c>
      <c r="T19" s="77"/>
      <c r="U19" s="78" t="str">
        <f t="shared" si="9"/>
        <v>#REF!</v>
      </c>
      <c r="V19" s="77"/>
      <c r="W19" s="78" t="str">
        <f t="shared" ref="W19:W23" si="58">CONCATENATE('Term Reference Guide (in-progress)'!B3," [",'Term Reference Guide (in-progress)'!C3,"]")</f>
        <v>#REF!</v>
      </c>
      <c r="X19" s="77"/>
      <c r="Y19" s="78" t="str">
        <f t="shared" si="11"/>
        <v>#REF!</v>
      </c>
      <c r="Z19" s="77"/>
      <c r="AA19" s="77"/>
      <c r="AB19" s="77"/>
      <c r="AC19" s="78" t="str">
        <f t="shared" si="56"/>
        <v>#REF!</v>
      </c>
      <c r="AD19" s="77"/>
      <c r="AE19" s="77"/>
      <c r="AF19" s="77"/>
      <c r="AG19" s="78" t="str">
        <f t="shared" si="54"/>
        <v>#REF!</v>
      </c>
      <c r="AH19" s="77"/>
      <c r="AI19" s="78" t="str">
        <f t="shared" si="57"/>
        <v>#REF!</v>
      </c>
      <c r="AJ19" s="77"/>
      <c r="AK19" s="77"/>
      <c r="AL19" s="77"/>
      <c r="AM19" s="78"/>
      <c r="AN19" s="77"/>
      <c r="AO19" s="77"/>
      <c r="AP19" s="77"/>
      <c r="AQ19" s="77"/>
      <c r="AR19" s="77"/>
      <c r="AS19" s="77"/>
      <c r="AT19" s="77"/>
      <c r="AU19" s="78"/>
      <c r="AV19" s="77"/>
      <c r="AX19" s="77"/>
      <c r="AY19" s="78" t="str">
        <f t="shared" si="23"/>
        <v>#REF!</v>
      </c>
      <c r="AZ19" s="77"/>
      <c r="BA19" s="78" t="str">
        <f t="shared" si="24"/>
        <v>#REF!</v>
      </c>
      <c r="BB19" s="77"/>
      <c r="BC19" s="78" t="str">
        <f t="shared" si="25"/>
        <v>#REF!</v>
      </c>
      <c r="BD19" s="77"/>
      <c r="BE19" s="77"/>
      <c r="BF19" s="77"/>
      <c r="BG19" s="79" t="str">
        <f t="shared" si="55"/>
        <v>#REF!</v>
      </c>
      <c r="BH19" s="77"/>
      <c r="BI19" s="77"/>
      <c r="BJ19" s="77"/>
      <c r="BK19" s="79" t="str">
        <f t="shared" ref="BK19:BK24" si="59">CONCATENATE('Term Reference Guide (in-progress)'!B736," [",'Term Reference Guide (in-progress)'!C736,"]")</f>
        <v>#REF!</v>
      </c>
      <c r="BL19" s="77"/>
      <c r="BM19" s="79" t="str">
        <f t="shared" si="28"/>
        <v>#REF!</v>
      </c>
      <c r="BN19" s="77"/>
      <c r="BO19" s="77"/>
      <c r="BP19" s="77"/>
      <c r="BQ19" s="77"/>
      <c r="BR19" s="77"/>
      <c r="BS19" s="79" t="str">
        <f t="shared" si="31"/>
        <v>#REF!</v>
      </c>
      <c r="BT19" s="77"/>
      <c r="BU19" s="77" t="str">
        <f t="shared" si="32"/>
        <v>#REF!</v>
      </c>
      <c r="BV19" s="77"/>
      <c r="BW19" s="77"/>
      <c r="BX19" s="77"/>
    </row>
    <row r="20">
      <c r="A20" s="78" t="str">
        <f t="shared" si="1"/>
        <v>#REF!</v>
      </c>
      <c r="B20" s="77"/>
      <c r="C20" s="77"/>
      <c r="D20" s="77"/>
      <c r="E20" s="77"/>
      <c r="F20" s="77"/>
      <c r="G20" s="79" t="str">
        <f t="shared" si="4"/>
        <v>#REF!</v>
      </c>
      <c r="H20" s="77"/>
      <c r="J20" s="77"/>
      <c r="K20" s="77"/>
      <c r="L20" s="77"/>
      <c r="N20" s="77"/>
      <c r="O20" s="78" t="str">
        <f t="shared" si="6"/>
        <v>#REF!</v>
      </c>
      <c r="P20" s="77"/>
      <c r="R20" s="77"/>
      <c r="S20" s="78" t="str">
        <f t="shared" si="8"/>
        <v>#REF!</v>
      </c>
      <c r="T20" s="77"/>
      <c r="U20" s="78" t="str">
        <f t="shared" si="9"/>
        <v>#REF!</v>
      </c>
      <c r="V20" s="77"/>
      <c r="W20" s="78" t="str">
        <f t="shared" si="58"/>
        <v>#REF!</v>
      </c>
      <c r="X20" s="77"/>
      <c r="Y20" s="78" t="str">
        <f t="shared" si="11"/>
        <v>#REF!</v>
      </c>
      <c r="Z20" s="77"/>
      <c r="AA20" s="77"/>
      <c r="AB20" s="77"/>
      <c r="AC20" s="78" t="str">
        <f t="shared" si="56"/>
        <v>#REF!</v>
      </c>
      <c r="AD20" s="77"/>
      <c r="AE20" s="77"/>
      <c r="AF20" s="77"/>
      <c r="AG20" s="77"/>
      <c r="AH20" s="77"/>
      <c r="AI20" s="78" t="str">
        <f t="shared" si="57"/>
        <v>#REF!</v>
      </c>
      <c r="AJ20" s="77"/>
      <c r="AK20" s="77"/>
      <c r="AL20" s="77"/>
      <c r="AN20" s="77"/>
      <c r="AO20" s="77"/>
      <c r="AP20" s="77"/>
      <c r="AQ20" s="77"/>
      <c r="AR20" s="77"/>
      <c r="AS20" s="77"/>
      <c r="AT20" s="77"/>
      <c r="AX20" s="77"/>
      <c r="AY20" s="78" t="str">
        <f t="shared" si="23"/>
        <v>#REF!</v>
      </c>
      <c r="AZ20" s="77"/>
      <c r="BA20" s="78" t="str">
        <f t="shared" si="24"/>
        <v>#REF!</v>
      </c>
      <c r="BB20" s="77"/>
      <c r="BC20" s="78" t="str">
        <f t="shared" si="25"/>
        <v>#REF!</v>
      </c>
      <c r="BD20" s="77"/>
      <c r="BE20" s="77"/>
      <c r="BF20" s="77"/>
      <c r="BG20" s="79" t="str">
        <f t="shared" si="55"/>
        <v>#REF!</v>
      </c>
      <c r="BH20" s="77"/>
      <c r="BI20" s="77"/>
      <c r="BJ20" s="77"/>
      <c r="BK20" s="79" t="str">
        <f t="shared" si="59"/>
        <v>#REF!</v>
      </c>
      <c r="BL20" s="77"/>
      <c r="BM20" s="79" t="str">
        <f t="shared" si="28"/>
        <v>#REF!</v>
      </c>
      <c r="BN20" s="77"/>
      <c r="BO20" s="77"/>
      <c r="BP20" s="77"/>
      <c r="BQ20" s="77"/>
      <c r="BR20" s="77"/>
      <c r="BS20" s="79" t="str">
        <f t="shared" si="31"/>
        <v>#REF!</v>
      </c>
      <c r="BT20" s="77"/>
      <c r="BU20" s="77" t="str">
        <f t="shared" si="32"/>
        <v>#REF!</v>
      </c>
      <c r="BV20" s="77"/>
      <c r="BW20" s="77"/>
      <c r="BX20" s="77"/>
    </row>
    <row r="21">
      <c r="A21" s="78" t="str">
        <f t="shared" si="1"/>
        <v>#REF!</v>
      </c>
      <c r="B21" s="77"/>
      <c r="C21" s="77"/>
      <c r="D21" s="77"/>
      <c r="E21" s="77"/>
      <c r="F21" s="77"/>
      <c r="G21" s="79" t="str">
        <f t="shared" si="4"/>
        <v>#REF!</v>
      </c>
      <c r="H21" s="77"/>
      <c r="J21" s="77"/>
      <c r="K21" s="77"/>
      <c r="L21" s="77"/>
      <c r="N21" s="77"/>
      <c r="O21" s="78" t="str">
        <f t="shared" si="6"/>
        <v>#REF!</v>
      </c>
      <c r="P21" s="77"/>
      <c r="R21" s="77"/>
      <c r="S21" s="78" t="str">
        <f t="shared" si="8"/>
        <v>#REF!</v>
      </c>
      <c r="T21" s="77"/>
      <c r="U21" s="78" t="str">
        <f t="shared" si="9"/>
        <v>#REF!</v>
      </c>
      <c r="V21" s="77"/>
      <c r="W21" s="78" t="str">
        <f t="shared" si="58"/>
        <v>#REF!</v>
      </c>
      <c r="X21" s="77"/>
      <c r="Y21" s="78" t="str">
        <f t="shared" si="11"/>
        <v>#REF!</v>
      </c>
      <c r="Z21" s="77"/>
      <c r="AA21" s="77"/>
      <c r="AB21" s="77"/>
      <c r="AC21" s="78" t="str">
        <f t="shared" si="56"/>
        <v>#REF!</v>
      </c>
      <c r="AD21" s="77"/>
      <c r="AE21" s="77"/>
      <c r="AF21" s="77"/>
      <c r="AG21" s="77"/>
      <c r="AH21" s="77"/>
      <c r="AI21" s="78" t="str">
        <f t="shared" si="57"/>
        <v>#REF!</v>
      </c>
      <c r="AJ21" s="77"/>
      <c r="AK21" s="77"/>
      <c r="AL21" s="77"/>
      <c r="AN21" s="77"/>
      <c r="AO21" s="77"/>
      <c r="AP21" s="77"/>
      <c r="AQ21" s="77"/>
      <c r="AR21" s="77"/>
      <c r="AS21" s="77"/>
      <c r="AT21" s="77"/>
      <c r="AX21" s="77"/>
      <c r="AY21" s="78" t="str">
        <f t="shared" si="23"/>
        <v>#REF!</v>
      </c>
      <c r="AZ21" s="77"/>
      <c r="BA21" s="78" t="str">
        <f t="shared" si="24"/>
        <v>#REF!</v>
      </c>
      <c r="BB21" s="77"/>
      <c r="BC21" s="78" t="str">
        <f t="shared" si="25"/>
        <v>#REF!</v>
      </c>
      <c r="BD21" s="77"/>
      <c r="BE21" s="77"/>
      <c r="BF21" s="77"/>
      <c r="BG21" s="79" t="str">
        <f t="shared" si="55"/>
        <v>#REF!</v>
      </c>
      <c r="BH21" s="77"/>
      <c r="BI21" s="77"/>
      <c r="BJ21" s="77"/>
      <c r="BK21" s="79" t="str">
        <f t="shared" si="59"/>
        <v>#REF!</v>
      </c>
      <c r="BL21" s="77"/>
      <c r="BM21" s="79" t="str">
        <f t="shared" si="28"/>
        <v>#REF!</v>
      </c>
      <c r="BN21" s="77"/>
      <c r="BO21" s="77"/>
      <c r="BP21" s="77"/>
      <c r="BQ21" s="77"/>
      <c r="BR21" s="77"/>
      <c r="BS21" s="79" t="str">
        <f t="shared" si="31"/>
        <v>#REF!</v>
      </c>
      <c r="BT21" s="77"/>
      <c r="BU21" s="77" t="str">
        <f t="shared" si="32"/>
        <v>#REF!</v>
      </c>
      <c r="BV21" s="77"/>
      <c r="BW21" s="77"/>
      <c r="BX21" s="77"/>
    </row>
    <row r="22">
      <c r="A22" s="78" t="str">
        <f t="shared" si="1"/>
        <v>#REF!</v>
      </c>
      <c r="B22" s="77"/>
      <c r="C22" s="77"/>
      <c r="D22" s="77"/>
      <c r="E22" s="77"/>
      <c r="F22" s="77"/>
      <c r="G22" s="79" t="str">
        <f t="shared" si="4"/>
        <v>#REF!</v>
      </c>
      <c r="H22" s="82"/>
      <c r="J22" s="77"/>
      <c r="K22" s="77"/>
      <c r="L22" s="77"/>
      <c r="N22" s="77"/>
      <c r="O22" s="78" t="str">
        <f t="shared" si="6"/>
        <v>#REF!</v>
      </c>
      <c r="P22" s="77"/>
      <c r="R22" s="77"/>
      <c r="S22" s="78" t="str">
        <f t="shared" si="8"/>
        <v>#REF!</v>
      </c>
      <c r="T22" s="77"/>
      <c r="U22" s="78" t="str">
        <f t="shared" si="9"/>
        <v>#REF!</v>
      </c>
      <c r="V22" s="77"/>
      <c r="W22" s="78" t="str">
        <f t="shared" si="58"/>
        <v>#REF!</v>
      </c>
      <c r="X22" s="77"/>
      <c r="Y22" s="78" t="str">
        <f t="shared" si="11"/>
        <v>#REF!</v>
      </c>
      <c r="Z22" s="77"/>
      <c r="AA22" s="77"/>
      <c r="AB22" s="77"/>
      <c r="AC22" s="78" t="str">
        <f t="shared" si="56"/>
        <v>#REF!</v>
      </c>
      <c r="AD22" s="77"/>
      <c r="AE22" s="77"/>
      <c r="AF22" s="77"/>
      <c r="AG22" s="77"/>
      <c r="AH22" s="77"/>
      <c r="AI22" s="78" t="str">
        <f t="shared" si="57"/>
        <v>#REF!</v>
      </c>
      <c r="AJ22" s="77"/>
      <c r="AK22" s="77"/>
      <c r="AL22" s="77"/>
      <c r="AM22" s="77"/>
      <c r="AN22" s="77"/>
      <c r="AO22" s="77"/>
      <c r="AP22" s="77"/>
      <c r="AQ22" s="77"/>
      <c r="AR22" s="77"/>
      <c r="AS22" s="77"/>
      <c r="AT22" s="77"/>
      <c r="AX22" s="77"/>
      <c r="AY22" s="78" t="str">
        <f t="shared" si="23"/>
        <v>#REF!</v>
      </c>
      <c r="AZ22" s="77"/>
      <c r="BA22" s="78" t="str">
        <f t="shared" si="24"/>
        <v>#REF!</v>
      </c>
      <c r="BB22" s="77"/>
      <c r="BC22" s="78" t="str">
        <f t="shared" si="25"/>
        <v>#REF!</v>
      </c>
      <c r="BD22" s="77"/>
      <c r="BE22" s="77"/>
      <c r="BF22" s="77"/>
      <c r="BH22" s="77"/>
      <c r="BI22" s="77"/>
      <c r="BJ22" s="77"/>
      <c r="BK22" s="79" t="str">
        <f t="shared" si="59"/>
        <v>#REF!</v>
      </c>
      <c r="BL22" s="77"/>
      <c r="BM22" s="79" t="str">
        <f t="shared" si="28"/>
        <v>#REF!</v>
      </c>
      <c r="BN22" s="77"/>
      <c r="BO22" s="77"/>
      <c r="BP22" s="77"/>
      <c r="BQ22" s="77"/>
      <c r="BR22" s="77"/>
      <c r="BS22" s="79" t="str">
        <f t="shared" si="31"/>
        <v>#REF!</v>
      </c>
      <c r="BT22" s="77"/>
      <c r="BU22" s="77" t="str">
        <f t="shared" si="32"/>
        <v>#REF!</v>
      </c>
      <c r="BV22" s="77"/>
      <c r="BW22" s="77"/>
      <c r="BX22" s="77"/>
    </row>
    <row r="23">
      <c r="A23" s="78" t="str">
        <f t="shared" si="1"/>
        <v>#REF!</v>
      </c>
      <c r="B23" s="77"/>
      <c r="C23" s="77"/>
      <c r="D23" s="77"/>
      <c r="E23" s="77"/>
      <c r="F23" s="77"/>
      <c r="G23" s="79" t="str">
        <f t="shared" si="4"/>
        <v>#REF!</v>
      </c>
      <c r="H23" s="77"/>
      <c r="J23" s="77"/>
      <c r="K23" s="77"/>
      <c r="L23" s="77"/>
      <c r="N23" s="77"/>
      <c r="O23" s="78" t="str">
        <f t="shared" si="6"/>
        <v>#REF!</v>
      </c>
      <c r="P23" s="77"/>
      <c r="Q23" s="77"/>
      <c r="R23" s="77"/>
      <c r="S23" s="78" t="str">
        <f t="shared" si="8"/>
        <v>#REF!</v>
      </c>
      <c r="T23" s="77"/>
      <c r="U23" s="78" t="str">
        <f t="shared" ref="U23:U27" si="60">CONCATENATE('Term Reference Guide (in-progress)'!B3," [",'Term Reference Guide (in-progress)'!C3,"]")</f>
        <v>#REF!</v>
      </c>
      <c r="V23" s="77"/>
      <c r="W23" s="78" t="str">
        <f t="shared" si="58"/>
        <v>#REF!</v>
      </c>
      <c r="X23" s="77"/>
      <c r="Y23" s="78" t="str">
        <f t="shared" ref="Y23:Y27" si="61">CONCATENATE('Term Reference Guide (in-progress)'!B3," [",'Term Reference Guide (in-progress)'!C3,"]")</f>
        <v>#REF!</v>
      </c>
      <c r="Z23" s="77"/>
      <c r="AA23" s="77"/>
      <c r="AB23" s="77"/>
      <c r="AC23" s="77"/>
      <c r="AD23" s="77"/>
      <c r="AE23" s="77"/>
      <c r="AF23" s="77"/>
      <c r="AJ23" s="77"/>
      <c r="AK23" s="77"/>
      <c r="AL23" s="77"/>
      <c r="AM23" s="77"/>
      <c r="AN23" s="77"/>
      <c r="AO23" s="77"/>
      <c r="AP23" s="77"/>
      <c r="AQ23" s="77"/>
      <c r="AR23" s="77"/>
      <c r="AS23" s="77"/>
      <c r="AT23" s="77"/>
      <c r="AX23" s="77"/>
      <c r="AY23" s="78" t="str">
        <f t="shared" si="23"/>
        <v>#REF!</v>
      </c>
      <c r="AZ23" s="77"/>
      <c r="BA23" s="78" t="str">
        <f t="shared" si="24"/>
        <v>#REF!</v>
      </c>
      <c r="BB23" s="77"/>
      <c r="BC23" s="78" t="str">
        <f t="shared" si="25"/>
        <v>#REF!</v>
      </c>
      <c r="BD23" s="77"/>
      <c r="BE23" s="77"/>
      <c r="BF23" s="77"/>
      <c r="BH23" s="77"/>
      <c r="BI23" s="77"/>
      <c r="BJ23" s="77"/>
      <c r="BK23" s="79" t="str">
        <f t="shared" si="59"/>
        <v>#REF!</v>
      </c>
      <c r="BL23" s="77"/>
      <c r="BM23" s="79" t="str">
        <f t="shared" si="28"/>
        <v>#REF!</v>
      </c>
      <c r="BN23" s="77"/>
      <c r="BO23" s="77"/>
      <c r="BP23" s="77"/>
      <c r="BQ23" s="77"/>
      <c r="BR23" s="77"/>
      <c r="BS23" s="79" t="str">
        <f t="shared" si="31"/>
        <v>#REF!</v>
      </c>
      <c r="BT23" s="77"/>
      <c r="BU23" s="77" t="str">
        <f t="shared" si="32"/>
        <v>#REF!</v>
      </c>
      <c r="BV23" s="77"/>
      <c r="BW23" s="77"/>
      <c r="BX23" s="77"/>
    </row>
    <row r="24">
      <c r="A24" s="78" t="str">
        <f t="shared" si="1"/>
        <v>#REF!</v>
      </c>
      <c r="B24" s="77"/>
      <c r="C24" s="77"/>
      <c r="D24" s="77"/>
      <c r="E24" s="77"/>
      <c r="F24" s="77"/>
      <c r="G24" s="79" t="str">
        <f t="shared" si="4"/>
        <v>#REF!</v>
      </c>
      <c r="H24" s="77"/>
      <c r="J24" s="77"/>
      <c r="K24" s="77"/>
      <c r="L24" s="77"/>
      <c r="M24" s="77"/>
      <c r="N24" s="77"/>
      <c r="O24" s="78" t="str">
        <f t="shared" si="6"/>
        <v>#REF!</v>
      </c>
      <c r="P24" s="77"/>
      <c r="Q24" s="77"/>
      <c r="R24" s="77"/>
      <c r="S24" s="78" t="str">
        <f t="shared" si="8"/>
        <v>#REF!</v>
      </c>
      <c r="T24" s="77"/>
      <c r="U24" s="78" t="str">
        <f t="shared" si="60"/>
        <v>#REF!</v>
      </c>
      <c r="V24" s="77"/>
      <c r="W24" s="77"/>
      <c r="X24" s="77"/>
      <c r="Y24" s="78" t="str">
        <f t="shared" si="61"/>
        <v>#REF!</v>
      </c>
      <c r="Z24" s="77"/>
      <c r="AA24" s="77"/>
      <c r="AB24" s="77"/>
      <c r="AC24" s="77"/>
      <c r="AD24" s="77"/>
      <c r="AE24" s="77"/>
      <c r="AF24" s="77"/>
      <c r="AJ24" s="78"/>
      <c r="AK24" s="77"/>
      <c r="AL24" s="77"/>
      <c r="AM24" s="77"/>
      <c r="AN24" s="77"/>
      <c r="AO24" s="77"/>
      <c r="AP24" s="77"/>
      <c r="AQ24" s="77"/>
      <c r="AR24" s="77"/>
      <c r="AS24" s="77"/>
      <c r="AT24" s="77"/>
      <c r="AX24" s="77"/>
      <c r="AY24" s="78" t="str">
        <f t="shared" si="23"/>
        <v>#REF!</v>
      </c>
      <c r="AZ24" s="77"/>
      <c r="BA24" s="78" t="str">
        <f t="shared" si="24"/>
        <v>#REF!</v>
      </c>
      <c r="BB24" s="77"/>
      <c r="BC24" s="78" t="str">
        <f t="shared" si="25"/>
        <v>#REF!</v>
      </c>
      <c r="BD24" s="77"/>
      <c r="BE24" s="77"/>
      <c r="BF24" s="77"/>
      <c r="BH24" s="77"/>
      <c r="BI24" s="77"/>
      <c r="BJ24" s="77"/>
      <c r="BK24" s="79" t="str">
        <f t="shared" si="59"/>
        <v>#REF!</v>
      </c>
      <c r="BL24" s="77"/>
      <c r="BM24" s="79" t="str">
        <f t="shared" si="28"/>
        <v>#REF!</v>
      </c>
      <c r="BN24" s="77"/>
      <c r="BO24" s="77"/>
      <c r="BP24" s="77"/>
      <c r="BQ24" s="77"/>
      <c r="BR24" s="77"/>
      <c r="BS24" s="79" t="str">
        <f t="shared" si="31"/>
        <v>#REF!</v>
      </c>
      <c r="BT24" s="77"/>
      <c r="BU24" s="77" t="str">
        <f t="shared" si="32"/>
        <v>#REF!</v>
      </c>
      <c r="BV24" s="77"/>
      <c r="BW24" s="77"/>
      <c r="BX24" s="77"/>
    </row>
    <row r="25">
      <c r="A25" s="78" t="str">
        <f t="shared" si="1"/>
        <v>#REF!</v>
      </c>
      <c r="B25" s="77"/>
      <c r="C25" s="77"/>
      <c r="D25" s="77"/>
      <c r="E25" s="77"/>
      <c r="F25" s="77"/>
      <c r="G25" s="79" t="str">
        <f t="shared" si="4"/>
        <v>#REF!</v>
      </c>
      <c r="H25" s="77"/>
      <c r="I25" s="77"/>
      <c r="J25" s="77"/>
      <c r="K25" s="77"/>
      <c r="L25" s="77"/>
      <c r="M25" s="77"/>
      <c r="N25" s="77"/>
      <c r="O25" s="78" t="str">
        <f t="shared" si="6"/>
        <v>#REF!</v>
      </c>
      <c r="P25" s="77"/>
      <c r="Q25" s="77"/>
      <c r="R25" s="77"/>
      <c r="S25" s="78" t="str">
        <f t="shared" si="8"/>
        <v>#REF!</v>
      </c>
      <c r="T25" s="77"/>
      <c r="U25" s="78" t="str">
        <f t="shared" si="60"/>
        <v>#REF!</v>
      </c>
      <c r="V25" s="77"/>
      <c r="W25" s="77"/>
      <c r="X25" s="77"/>
      <c r="Y25" s="78" t="str">
        <f t="shared" si="61"/>
        <v>#REF!</v>
      </c>
      <c r="Z25" s="77"/>
      <c r="AA25" s="77"/>
      <c r="AB25" s="77"/>
      <c r="AC25" s="77"/>
      <c r="AD25" s="78"/>
      <c r="AE25" s="77"/>
      <c r="AF25" s="77"/>
      <c r="AJ25" s="77"/>
      <c r="AK25" s="77"/>
      <c r="AL25" s="77"/>
      <c r="AM25" s="77"/>
      <c r="AN25" s="77"/>
      <c r="AO25" s="77"/>
      <c r="AP25" s="77"/>
      <c r="AQ25" s="77"/>
      <c r="AR25" s="77"/>
      <c r="AS25" s="77"/>
      <c r="AT25" s="77"/>
      <c r="AX25" s="77"/>
      <c r="AY25" s="78" t="str">
        <f t="shared" si="23"/>
        <v>#REF!</v>
      </c>
      <c r="AZ25" s="77"/>
      <c r="BA25" s="78" t="str">
        <f t="shared" si="24"/>
        <v>#REF!</v>
      </c>
      <c r="BB25" s="77"/>
      <c r="BC25" s="78" t="str">
        <f t="shared" si="25"/>
        <v>#REF!</v>
      </c>
      <c r="BD25" s="77"/>
      <c r="BE25" s="77"/>
      <c r="BF25" s="77"/>
      <c r="BH25" s="77"/>
      <c r="BI25" s="77"/>
      <c r="BJ25" s="77"/>
      <c r="BK25" s="79" t="str">
        <f t="shared" ref="BK25:BK26" si="62">CONCATENATE('Term Reference Guide (in-progress)'!B745," [",'Term Reference Guide (in-progress)'!C745,"]")</f>
        <v>#REF!</v>
      </c>
      <c r="BL25" s="77"/>
      <c r="BM25" s="79" t="str">
        <f t="shared" si="28"/>
        <v>#REF!</v>
      </c>
      <c r="BN25" s="77"/>
      <c r="BO25" s="77"/>
      <c r="BP25" s="77"/>
      <c r="BQ25" s="77"/>
      <c r="BR25" s="77"/>
      <c r="BS25" s="79" t="str">
        <f t="shared" si="31"/>
        <v>#REF!</v>
      </c>
      <c r="BT25" s="77"/>
      <c r="BU25" s="77" t="str">
        <f t="shared" si="32"/>
        <v>#REF!</v>
      </c>
      <c r="BV25" s="77"/>
      <c r="BW25" s="77"/>
      <c r="BX25" s="77"/>
    </row>
    <row r="26">
      <c r="A26" s="78" t="str">
        <f t="shared" si="1"/>
        <v>#REF!</v>
      </c>
      <c r="B26" s="77"/>
      <c r="C26" s="77"/>
      <c r="D26" s="77"/>
      <c r="E26" s="77"/>
      <c r="F26" s="77"/>
      <c r="G26" s="83" t="str">
        <f t="shared" si="4"/>
        <v>#REF!</v>
      </c>
      <c r="H26" s="77"/>
      <c r="I26" s="77"/>
      <c r="J26" s="77"/>
      <c r="K26" s="77"/>
      <c r="L26" s="77"/>
      <c r="M26" s="77"/>
      <c r="N26" s="77"/>
      <c r="O26" s="78" t="str">
        <f t="shared" si="6"/>
        <v>#REF!</v>
      </c>
      <c r="P26" s="77"/>
      <c r="Q26" s="77"/>
      <c r="R26" s="77"/>
      <c r="S26" s="78" t="str">
        <f t="shared" si="8"/>
        <v>#REF!</v>
      </c>
      <c r="T26" s="77"/>
      <c r="U26" s="78" t="str">
        <f t="shared" si="60"/>
        <v>#REF!</v>
      </c>
      <c r="V26" s="77"/>
      <c r="W26" s="77"/>
      <c r="X26" s="77"/>
      <c r="Y26" s="78" t="str">
        <f t="shared" si="61"/>
        <v>#REF!</v>
      </c>
      <c r="Z26" s="77"/>
      <c r="AA26" s="77"/>
      <c r="AB26" s="77"/>
      <c r="AC26" s="77"/>
      <c r="AD26" s="77"/>
      <c r="AE26" s="77"/>
      <c r="AF26" s="77"/>
      <c r="AJ26" s="77"/>
      <c r="AK26" s="77"/>
      <c r="AL26" s="77"/>
      <c r="AM26" s="77"/>
      <c r="AN26" s="77"/>
      <c r="AO26" s="77"/>
      <c r="AP26" s="77"/>
      <c r="AQ26" s="77"/>
      <c r="AR26" s="77"/>
      <c r="AS26" s="77"/>
      <c r="AT26" s="77"/>
      <c r="AU26" s="77"/>
      <c r="AV26" s="77"/>
      <c r="AW26" s="77"/>
      <c r="AX26" s="77"/>
      <c r="AY26" s="78" t="str">
        <f t="shared" si="23"/>
        <v>#REF!</v>
      </c>
      <c r="AZ26" s="77"/>
      <c r="BA26" s="78" t="str">
        <f t="shared" si="24"/>
        <v>#REF!</v>
      </c>
      <c r="BB26" s="77"/>
      <c r="BC26" s="78" t="str">
        <f t="shared" si="25"/>
        <v>#REF!</v>
      </c>
      <c r="BD26" s="77"/>
      <c r="BE26" s="77"/>
      <c r="BF26" s="77"/>
      <c r="BH26" s="77"/>
      <c r="BI26" s="77"/>
      <c r="BJ26" s="77"/>
      <c r="BK26" s="79" t="str">
        <f t="shared" si="62"/>
        <v>#REF!</v>
      </c>
      <c r="BL26" s="77"/>
      <c r="BM26" s="79" t="str">
        <f t="shared" si="28"/>
        <v>#REF!</v>
      </c>
      <c r="BN26" s="77"/>
      <c r="BO26" s="77"/>
      <c r="BP26" s="77"/>
      <c r="BQ26" s="77"/>
      <c r="BR26" s="77"/>
      <c r="BS26" s="79" t="str">
        <f t="shared" si="31"/>
        <v>#REF!</v>
      </c>
      <c r="BT26" s="77"/>
      <c r="BU26" s="77" t="str">
        <f t="shared" si="32"/>
        <v>#REF!</v>
      </c>
      <c r="BV26" s="77"/>
      <c r="BW26" s="77"/>
      <c r="BX26" s="77"/>
    </row>
    <row r="27">
      <c r="A27" s="78" t="str">
        <f t="shared" si="1"/>
        <v>#REF!</v>
      </c>
      <c r="B27" s="77"/>
      <c r="C27" s="77"/>
      <c r="D27" s="77"/>
      <c r="E27" s="77"/>
      <c r="F27" s="77"/>
      <c r="G27" s="79" t="str">
        <f t="shared" ref="G27:G31" si="63">CONCATENATE('Term Reference Guide (in-progress)'!B3," [",'Term Reference Guide (in-progress)'!C3,"]")</f>
        <v>#REF!</v>
      </c>
      <c r="H27" s="77"/>
      <c r="I27" s="77"/>
      <c r="J27" s="77"/>
      <c r="K27" s="77"/>
      <c r="L27" s="77"/>
      <c r="M27" s="77"/>
      <c r="N27" s="77"/>
      <c r="O27" s="78" t="str">
        <f t="shared" ref="O27:O31" si="64">CONCATENATE('Term Reference Guide (in-progress)'!B3," [",'Term Reference Guide (in-progress)'!C3,"]")</f>
        <v>#REF!</v>
      </c>
      <c r="P27" s="77"/>
      <c r="Q27" s="77"/>
      <c r="R27" s="77"/>
      <c r="S27" s="78" t="str">
        <f t="shared" si="8"/>
        <v>#REF!</v>
      </c>
      <c r="T27" s="77"/>
      <c r="U27" s="78" t="str">
        <f t="shared" si="60"/>
        <v>#REF!</v>
      </c>
      <c r="V27" s="77"/>
      <c r="W27" s="77"/>
      <c r="X27" s="77"/>
      <c r="Y27" s="78" t="str">
        <f t="shared" si="61"/>
        <v>#REF!</v>
      </c>
      <c r="Z27" s="77"/>
      <c r="AA27" s="77"/>
      <c r="AB27" s="77"/>
      <c r="AC27" s="77"/>
      <c r="AD27" s="77"/>
      <c r="AE27" s="77"/>
      <c r="AF27" s="77"/>
      <c r="AJ27" s="77"/>
      <c r="AK27" s="77"/>
      <c r="AL27" s="77"/>
      <c r="AM27" s="77"/>
      <c r="AN27" s="77"/>
      <c r="AO27" s="77"/>
      <c r="AP27" s="77"/>
      <c r="AQ27" s="77"/>
      <c r="AR27" s="77"/>
      <c r="AS27" s="77"/>
      <c r="AT27" s="77"/>
      <c r="AU27" s="77"/>
      <c r="AV27" s="77"/>
      <c r="AW27" s="77"/>
      <c r="AX27" s="77"/>
      <c r="AY27" s="78" t="str">
        <f t="shared" si="23"/>
        <v>#REF!</v>
      </c>
      <c r="AZ27" s="77"/>
      <c r="BA27" s="78" t="str">
        <f t="shared" si="24"/>
        <v>#REF!</v>
      </c>
      <c r="BB27" s="77"/>
      <c r="BC27" s="78" t="str">
        <f t="shared" si="25"/>
        <v>#REF!</v>
      </c>
      <c r="BD27" s="77"/>
      <c r="BE27" s="77"/>
      <c r="BF27" s="77"/>
      <c r="BH27" s="77"/>
      <c r="BI27" s="77"/>
      <c r="BJ27" s="77"/>
      <c r="BK27" s="79" t="str">
        <f t="shared" ref="BK27:BK35" si="65">CONCATENATE('Term Reference Guide (in-progress)'!B749," [",'Term Reference Guide (in-progress)'!C749,"]")</f>
        <v>#REF!</v>
      </c>
      <c r="BL27" s="77"/>
      <c r="BM27" s="79" t="str">
        <f t="shared" si="28"/>
        <v>#REF!</v>
      </c>
      <c r="BN27" s="77"/>
      <c r="BO27" s="77"/>
      <c r="BP27" s="77"/>
      <c r="BQ27" s="77"/>
      <c r="BR27" s="77"/>
      <c r="BS27" s="79" t="str">
        <f t="shared" si="31"/>
        <v>#REF!</v>
      </c>
      <c r="BT27" s="77"/>
      <c r="BU27" s="77" t="str">
        <f t="shared" si="32"/>
        <v>#REF!</v>
      </c>
      <c r="BV27" s="78"/>
      <c r="BW27" s="77"/>
      <c r="BX27" s="77"/>
    </row>
    <row r="28">
      <c r="A28" s="78" t="str">
        <f t="shared" si="1"/>
        <v>#REF!</v>
      </c>
      <c r="B28" s="77"/>
      <c r="C28" s="77"/>
      <c r="D28" s="77"/>
      <c r="E28" s="77"/>
      <c r="F28" s="77"/>
      <c r="G28" s="79" t="str">
        <f t="shared" si="63"/>
        <v>#REF!</v>
      </c>
      <c r="H28" s="77"/>
      <c r="I28" s="77"/>
      <c r="J28" s="77"/>
      <c r="K28" s="77"/>
      <c r="L28" s="77"/>
      <c r="M28" s="77"/>
      <c r="N28" s="77"/>
      <c r="O28" s="78" t="str">
        <f t="shared" si="64"/>
        <v>#REF!</v>
      </c>
      <c r="P28" s="77"/>
      <c r="Q28" s="77"/>
      <c r="R28" s="77"/>
      <c r="S28" s="78" t="str">
        <f t="shared" si="8"/>
        <v>#REF!</v>
      </c>
      <c r="T28" s="77"/>
      <c r="U28" s="77"/>
      <c r="V28" s="77"/>
      <c r="W28" s="77"/>
      <c r="X28" s="77"/>
      <c r="AD28" s="77"/>
      <c r="AE28" s="77"/>
      <c r="AF28" s="77"/>
      <c r="AJ28" s="77"/>
      <c r="AK28" s="77"/>
      <c r="AL28" s="77"/>
      <c r="AM28" s="77"/>
      <c r="AN28" s="77"/>
      <c r="AO28" s="77"/>
      <c r="AP28" s="77"/>
      <c r="AQ28" s="77"/>
      <c r="AR28" s="77"/>
      <c r="AS28" s="77"/>
      <c r="AT28" s="77"/>
      <c r="AU28" s="77"/>
      <c r="AV28" s="77"/>
      <c r="AW28" s="77"/>
      <c r="AX28" s="77"/>
      <c r="AY28" s="78" t="str">
        <f t="shared" si="23"/>
        <v>#REF!</v>
      </c>
      <c r="AZ28" s="77"/>
      <c r="BA28" s="78" t="str">
        <f t="shared" si="24"/>
        <v>#REF!</v>
      </c>
      <c r="BB28" s="77"/>
      <c r="BC28" s="78" t="str">
        <f t="shared" si="25"/>
        <v>#REF!</v>
      </c>
      <c r="BD28" s="77"/>
      <c r="BE28" s="77"/>
      <c r="BF28" s="77"/>
      <c r="BH28" s="77"/>
      <c r="BI28" s="77"/>
      <c r="BJ28" s="77"/>
      <c r="BK28" s="79" t="str">
        <f t="shared" si="65"/>
        <v>#REF!</v>
      </c>
      <c r="BL28" s="77"/>
      <c r="BM28" s="79" t="str">
        <f t="shared" si="28"/>
        <v>#REF!</v>
      </c>
      <c r="BN28" s="77"/>
      <c r="BO28" s="77"/>
      <c r="BP28" s="77"/>
      <c r="BQ28" s="77"/>
      <c r="BR28" s="77"/>
      <c r="BS28" s="79" t="str">
        <f t="shared" si="31"/>
        <v>#REF!</v>
      </c>
      <c r="BT28" s="77"/>
      <c r="BU28" s="77" t="str">
        <f t="shared" si="32"/>
        <v>#REF!</v>
      </c>
      <c r="BV28" s="77"/>
      <c r="BW28" s="77"/>
      <c r="BX28" s="77"/>
    </row>
    <row r="29">
      <c r="A29" s="78" t="str">
        <f t="shared" si="1"/>
        <v>#REF!</v>
      </c>
      <c r="B29" s="77"/>
      <c r="C29" s="77"/>
      <c r="D29" s="77"/>
      <c r="E29" s="77"/>
      <c r="F29" s="77"/>
      <c r="G29" s="79" t="str">
        <f t="shared" si="63"/>
        <v>#REF!</v>
      </c>
      <c r="H29" s="77"/>
      <c r="I29" s="77"/>
      <c r="J29" s="77"/>
      <c r="K29" s="77"/>
      <c r="L29" s="77"/>
      <c r="M29" s="77"/>
      <c r="N29" s="77"/>
      <c r="O29" s="78" t="str">
        <f t="shared" si="64"/>
        <v>#REF!</v>
      </c>
      <c r="P29" s="77"/>
      <c r="Q29" s="77"/>
      <c r="R29" s="77"/>
      <c r="S29" s="78" t="str">
        <f t="shared" si="8"/>
        <v>#REF!</v>
      </c>
      <c r="T29" s="77"/>
      <c r="U29" s="77"/>
      <c r="V29" s="77"/>
      <c r="W29" s="77"/>
      <c r="X29" s="77"/>
      <c r="AD29" s="77"/>
      <c r="AE29" s="77"/>
      <c r="AF29" s="77"/>
      <c r="AJ29" s="77"/>
      <c r="AK29" s="77"/>
      <c r="AL29" s="77"/>
      <c r="AM29" s="77"/>
      <c r="AN29" s="77"/>
      <c r="AO29" s="77"/>
      <c r="AP29" s="77"/>
      <c r="AQ29" s="77"/>
      <c r="AR29" s="77"/>
      <c r="AS29" s="77"/>
      <c r="AT29" s="77"/>
      <c r="AU29" s="77"/>
      <c r="AV29" s="77"/>
      <c r="AW29" s="77"/>
      <c r="AX29" s="77"/>
      <c r="AY29" s="78" t="str">
        <f t="shared" si="23"/>
        <v>#REF!</v>
      </c>
      <c r="AZ29" s="77"/>
      <c r="BA29" s="78" t="str">
        <f t="shared" si="24"/>
        <v>#REF!</v>
      </c>
      <c r="BB29" s="77"/>
      <c r="BC29" s="78" t="str">
        <f t="shared" si="25"/>
        <v>#REF!</v>
      </c>
      <c r="BD29" s="77"/>
      <c r="BE29" s="77"/>
      <c r="BF29" s="77"/>
      <c r="BH29" s="77"/>
      <c r="BI29" s="77"/>
      <c r="BJ29" s="77"/>
      <c r="BK29" s="79" t="str">
        <f t="shared" si="65"/>
        <v>#REF!</v>
      </c>
      <c r="BL29" s="77"/>
      <c r="BM29" s="79" t="str">
        <f t="shared" si="28"/>
        <v>#REF!</v>
      </c>
      <c r="BN29" s="77"/>
      <c r="BO29" s="77"/>
      <c r="BP29" s="77"/>
      <c r="BQ29" s="77"/>
      <c r="BR29" s="77"/>
      <c r="BS29" s="79" t="str">
        <f t="shared" si="31"/>
        <v>#REF!</v>
      </c>
      <c r="BT29" s="77"/>
      <c r="BU29" s="77" t="str">
        <f t="shared" si="32"/>
        <v>#REF!</v>
      </c>
      <c r="BV29" s="77"/>
      <c r="BW29" s="77"/>
      <c r="BX29" s="77"/>
    </row>
    <row r="30">
      <c r="A30" s="78" t="str">
        <f t="shared" si="1"/>
        <v>#REF!</v>
      </c>
      <c r="B30" s="77"/>
      <c r="C30" s="77"/>
      <c r="D30" s="77"/>
      <c r="E30" s="77"/>
      <c r="F30" s="77"/>
      <c r="G30" s="79" t="str">
        <f t="shared" si="63"/>
        <v>#REF!</v>
      </c>
      <c r="H30" s="77"/>
      <c r="I30" s="77"/>
      <c r="J30" s="77"/>
      <c r="K30" s="77"/>
      <c r="L30" s="77"/>
      <c r="M30" s="77"/>
      <c r="N30" s="77"/>
      <c r="O30" s="78" t="str">
        <f t="shared" si="64"/>
        <v>#REF!</v>
      </c>
      <c r="P30" s="78"/>
      <c r="Q30" s="77"/>
      <c r="R30" s="77"/>
      <c r="S30" s="78" t="str">
        <f t="shared" si="8"/>
        <v>#REF!</v>
      </c>
      <c r="T30" s="77"/>
      <c r="U30" s="77"/>
      <c r="V30" s="77"/>
      <c r="W30" s="77"/>
      <c r="X30" s="77"/>
      <c r="AD30" s="77"/>
      <c r="AE30" s="77"/>
      <c r="AF30" s="77"/>
      <c r="AJ30" s="77"/>
      <c r="AK30" s="77"/>
      <c r="AL30" s="77"/>
      <c r="AM30" s="77"/>
      <c r="AN30" s="77"/>
      <c r="AO30" s="77"/>
      <c r="AP30" s="77"/>
      <c r="AQ30" s="77"/>
      <c r="AR30" s="77"/>
      <c r="AS30" s="77"/>
      <c r="AT30" s="77"/>
      <c r="AU30" s="77"/>
      <c r="AV30" s="77"/>
      <c r="AW30" s="77"/>
      <c r="AX30" s="77"/>
      <c r="AY30" s="78" t="str">
        <f t="shared" si="23"/>
        <v>#REF!</v>
      </c>
      <c r="AZ30" s="77"/>
      <c r="BA30" s="78" t="str">
        <f t="shared" si="24"/>
        <v>#REF!</v>
      </c>
      <c r="BB30" s="77"/>
      <c r="BC30" s="78" t="str">
        <f t="shared" si="25"/>
        <v>#REF!</v>
      </c>
      <c r="BD30" s="77"/>
      <c r="BE30" s="77"/>
      <c r="BF30" s="77"/>
      <c r="BG30" s="77"/>
      <c r="BH30" s="77"/>
      <c r="BI30" s="77"/>
      <c r="BJ30" s="77"/>
      <c r="BK30" s="79" t="str">
        <f t="shared" si="65"/>
        <v>#REF!</v>
      </c>
      <c r="BL30" s="77"/>
      <c r="BM30" s="79" t="str">
        <f t="shared" si="28"/>
        <v>#REF!</v>
      </c>
      <c r="BN30" s="77"/>
      <c r="BO30" s="77"/>
      <c r="BP30" s="77"/>
      <c r="BQ30" s="77"/>
      <c r="BR30" s="77"/>
      <c r="BS30" s="79" t="str">
        <f t="shared" si="31"/>
        <v>#REF!</v>
      </c>
      <c r="BT30" s="77"/>
      <c r="BU30" s="77" t="str">
        <f t="shared" si="32"/>
        <v>#REF!</v>
      </c>
      <c r="BV30" s="77"/>
      <c r="BW30" s="77"/>
      <c r="BX30" s="77"/>
    </row>
    <row r="31">
      <c r="A31" s="78" t="str">
        <f t="shared" si="1"/>
        <v>#REF!</v>
      </c>
      <c r="B31" s="77"/>
      <c r="C31" s="77"/>
      <c r="D31" s="77"/>
      <c r="E31" s="77"/>
      <c r="F31" s="77"/>
      <c r="G31" s="79" t="str">
        <f t="shared" si="63"/>
        <v>#REF!</v>
      </c>
      <c r="H31" s="77"/>
      <c r="I31" s="77"/>
      <c r="J31" s="77"/>
      <c r="K31" s="77"/>
      <c r="L31" s="77"/>
      <c r="M31" s="77"/>
      <c r="N31" s="77"/>
      <c r="O31" s="78" t="str">
        <f t="shared" si="64"/>
        <v>#REF!</v>
      </c>
      <c r="P31" s="78"/>
      <c r="Q31" s="77"/>
      <c r="R31" s="77"/>
      <c r="S31" s="78" t="str">
        <f t="shared" si="8"/>
        <v>#REF!</v>
      </c>
      <c r="T31" s="77"/>
      <c r="U31" s="77"/>
      <c r="V31" s="77"/>
      <c r="W31" s="77"/>
      <c r="X31" s="77"/>
      <c r="AD31" s="77"/>
      <c r="AE31" s="77"/>
      <c r="AF31" s="77"/>
      <c r="AG31" s="77"/>
      <c r="AH31" s="77"/>
      <c r="AI31" s="77"/>
      <c r="AJ31" s="77"/>
      <c r="AK31" s="77"/>
      <c r="AL31" s="77"/>
      <c r="AM31" s="77"/>
      <c r="AN31" s="77"/>
      <c r="AO31" s="77"/>
      <c r="AP31" s="77"/>
      <c r="AQ31" s="77"/>
      <c r="AR31" s="77"/>
      <c r="AS31" s="77"/>
      <c r="AT31" s="77"/>
      <c r="AU31" s="77"/>
      <c r="AV31" s="77"/>
      <c r="AW31" s="77"/>
      <c r="AX31" s="77"/>
      <c r="AY31" s="78" t="str">
        <f t="shared" si="23"/>
        <v>#REF!</v>
      </c>
      <c r="AZ31" s="78"/>
      <c r="BA31" s="78" t="str">
        <f t="shared" si="24"/>
        <v>#REF!</v>
      </c>
      <c r="BB31" s="77"/>
      <c r="BC31" s="78" t="str">
        <f t="shared" si="25"/>
        <v>#REF!</v>
      </c>
      <c r="BD31" s="77"/>
      <c r="BE31" s="77"/>
      <c r="BF31" s="77"/>
      <c r="BG31" s="77"/>
      <c r="BH31" s="77"/>
      <c r="BI31" s="77"/>
      <c r="BJ31" s="77"/>
      <c r="BK31" s="79" t="str">
        <f t="shared" si="65"/>
        <v>#REF!</v>
      </c>
      <c r="BL31" s="77"/>
      <c r="BM31" s="79" t="str">
        <f t="shared" si="28"/>
        <v>#REF!</v>
      </c>
      <c r="BN31" s="77"/>
      <c r="BO31" s="77"/>
      <c r="BP31" s="77"/>
      <c r="BQ31" s="77"/>
      <c r="BR31" s="77"/>
      <c r="BS31" s="79" t="str">
        <f t="shared" si="31"/>
        <v>#REF!</v>
      </c>
      <c r="BT31" s="77"/>
      <c r="BU31" s="77" t="str">
        <f t="shared" si="32"/>
        <v>#REF!</v>
      </c>
      <c r="BV31" s="77"/>
      <c r="BW31" s="77"/>
      <c r="BX31" s="77"/>
    </row>
    <row r="32">
      <c r="A32" s="78" t="str">
        <f t="shared" si="1"/>
        <v>#REF!</v>
      </c>
      <c r="B32" s="77"/>
      <c r="C32" s="77"/>
      <c r="D32" s="77"/>
      <c r="E32" s="77"/>
      <c r="F32" s="77"/>
      <c r="G32" s="77"/>
      <c r="H32" s="77"/>
      <c r="I32" s="77"/>
      <c r="J32" s="77"/>
      <c r="K32" s="77"/>
      <c r="L32" s="77"/>
      <c r="M32" s="77"/>
      <c r="N32" s="77"/>
      <c r="P32" s="77"/>
      <c r="Q32" s="77"/>
      <c r="R32" s="77"/>
      <c r="S32" s="78" t="str">
        <f t="shared" si="8"/>
        <v>#REF!</v>
      </c>
      <c r="T32" s="77"/>
      <c r="U32" s="77"/>
      <c r="V32" s="77"/>
      <c r="W32" s="77"/>
      <c r="X32" s="77"/>
      <c r="AD32" s="77"/>
      <c r="AE32" s="77"/>
      <c r="AF32" s="77"/>
      <c r="AG32" s="77"/>
      <c r="AH32" s="77"/>
      <c r="AI32" s="77"/>
      <c r="AJ32" s="77"/>
      <c r="AK32" s="77"/>
      <c r="AL32" s="77"/>
      <c r="AM32" s="77"/>
      <c r="AN32" s="77"/>
      <c r="AO32" s="77"/>
      <c r="AP32" s="77"/>
      <c r="AQ32" s="77"/>
      <c r="AR32" s="77"/>
      <c r="AS32" s="77"/>
      <c r="AT32" s="77"/>
      <c r="AU32" s="77"/>
      <c r="AV32" s="77"/>
      <c r="AW32" s="77"/>
      <c r="AX32" s="77"/>
      <c r="AY32" s="78" t="str">
        <f t="shared" si="23"/>
        <v>#REF!</v>
      </c>
      <c r="AZ32" s="77"/>
      <c r="BA32" s="78" t="str">
        <f t="shared" si="24"/>
        <v>#REF!</v>
      </c>
      <c r="BB32" s="77"/>
      <c r="BC32" s="78" t="str">
        <f t="shared" si="25"/>
        <v>#REF!</v>
      </c>
      <c r="BD32" s="77"/>
      <c r="BE32" s="77"/>
      <c r="BF32" s="77"/>
      <c r="BG32" s="77"/>
      <c r="BH32" s="77"/>
      <c r="BI32" s="77"/>
      <c r="BJ32" s="77"/>
      <c r="BK32" s="79" t="str">
        <f t="shared" si="65"/>
        <v>#REF!</v>
      </c>
      <c r="BL32" s="77"/>
      <c r="BM32" s="79" t="str">
        <f t="shared" si="28"/>
        <v>#REF!</v>
      </c>
      <c r="BN32" s="77"/>
      <c r="BO32" s="77"/>
      <c r="BP32" s="77"/>
      <c r="BQ32" s="77"/>
      <c r="BR32" s="77"/>
      <c r="BS32" s="79" t="str">
        <f t="shared" si="31"/>
        <v>#REF!</v>
      </c>
      <c r="BT32" s="77"/>
      <c r="BU32" s="77" t="str">
        <f t="shared" si="32"/>
        <v>#REF!</v>
      </c>
      <c r="BV32" s="77"/>
      <c r="BW32" s="77"/>
      <c r="BX32" s="77"/>
    </row>
    <row r="33">
      <c r="A33" s="78" t="str">
        <f t="shared" si="1"/>
        <v>#REF!</v>
      </c>
      <c r="B33" s="77"/>
      <c r="C33" s="77"/>
      <c r="D33" s="77"/>
      <c r="E33" s="77"/>
      <c r="F33" s="77"/>
      <c r="G33" s="77"/>
      <c r="H33" s="77"/>
      <c r="I33" s="77"/>
      <c r="J33" s="77"/>
      <c r="K33" s="77"/>
      <c r="L33" s="77"/>
      <c r="M33" s="77"/>
      <c r="N33" s="77"/>
      <c r="P33" s="77"/>
      <c r="Q33" s="77"/>
      <c r="R33" s="77"/>
      <c r="S33" s="78" t="str">
        <f t="shared" si="8"/>
        <v>#REF!</v>
      </c>
      <c r="T33" s="77"/>
      <c r="U33" s="77"/>
      <c r="V33" s="77"/>
      <c r="W33" s="77"/>
      <c r="X33" s="77"/>
      <c r="AD33" s="77"/>
      <c r="AE33" s="77"/>
      <c r="AF33" s="77"/>
      <c r="AG33" s="77"/>
      <c r="AH33" s="77"/>
      <c r="AI33" s="77"/>
      <c r="AJ33" s="77"/>
      <c r="AK33" s="77"/>
      <c r="AL33" s="77"/>
      <c r="AM33" s="77"/>
      <c r="AN33" s="77"/>
      <c r="AO33" s="77"/>
      <c r="AP33" s="77"/>
      <c r="AQ33" s="77"/>
      <c r="AR33" s="77"/>
      <c r="AS33" s="77"/>
      <c r="AT33" s="77"/>
      <c r="AU33" s="77"/>
      <c r="AV33" s="77"/>
      <c r="AW33" s="77"/>
      <c r="AX33" s="77"/>
      <c r="AY33" s="78" t="str">
        <f t="shared" si="23"/>
        <v>#REF!</v>
      </c>
      <c r="AZ33" s="77"/>
      <c r="BA33" s="78" t="str">
        <f t="shared" si="24"/>
        <v>#REF!</v>
      </c>
      <c r="BB33" s="77"/>
      <c r="BC33" s="78" t="str">
        <f t="shared" si="25"/>
        <v>#REF!</v>
      </c>
      <c r="BD33" s="77"/>
      <c r="BE33" s="77"/>
      <c r="BF33" s="77"/>
      <c r="BG33" s="77"/>
      <c r="BH33" s="77"/>
      <c r="BI33" s="77"/>
      <c r="BJ33" s="77"/>
      <c r="BK33" s="79" t="str">
        <f t="shared" si="65"/>
        <v>#REF!</v>
      </c>
      <c r="BL33" s="77"/>
      <c r="BM33" s="79" t="str">
        <f t="shared" si="28"/>
        <v>#REF!</v>
      </c>
      <c r="BN33" s="77"/>
      <c r="BO33" s="77"/>
      <c r="BP33" s="77"/>
      <c r="BQ33" s="77"/>
      <c r="BR33" s="77"/>
      <c r="BS33" s="79" t="str">
        <f t="shared" si="31"/>
        <v>#REF!</v>
      </c>
      <c r="BT33" s="77"/>
      <c r="BU33" s="77" t="str">
        <f t="shared" si="32"/>
        <v>#REF!</v>
      </c>
      <c r="BV33" s="77"/>
      <c r="BW33" s="77"/>
      <c r="BX33" s="77"/>
    </row>
    <row r="34">
      <c r="A34" s="78" t="str">
        <f t="shared" si="1"/>
        <v>#REF!</v>
      </c>
      <c r="B34" s="77"/>
      <c r="C34" s="77"/>
      <c r="D34" s="77"/>
      <c r="E34" s="77"/>
      <c r="F34" s="77"/>
      <c r="G34" s="77"/>
      <c r="H34" s="77"/>
      <c r="I34" s="77"/>
      <c r="J34" s="77"/>
      <c r="K34" s="77"/>
      <c r="L34" s="77"/>
      <c r="M34" s="77"/>
      <c r="N34" s="77"/>
      <c r="P34" s="77"/>
      <c r="Q34" s="77"/>
      <c r="R34" s="77"/>
      <c r="S34" s="78" t="str">
        <f t="shared" si="8"/>
        <v>#REF!</v>
      </c>
      <c r="T34" s="77"/>
      <c r="U34" s="77"/>
      <c r="V34" s="77"/>
      <c r="W34" s="77"/>
      <c r="X34" s="77"/>
      <c r="AD34" s="77"/>
      <c r="AE34" s="77"/>
      <c r="AF34" s="77"/>
      <c r="AG34" s="77"/>
      <c r="AH34" s="77"/>
      <c r="AI34" s="77"/>
      <c r="AJ34" s="77"/>
      <c r="AK34" s="77"/>
      <c r="AL34" s="77"/>
      <c r="AM34" s="77"/>
      <c r="AN34" s="77"/>
      <c r="AO34" s="77"/>
      <c r="AP34" s="77"/>
      <c r="AQ34" s="77"/>
      <c r="AR34" s="77"/>
      <c r="AS34" s="77"/>
      <c r="AT34" s="77"/>
      <c r="AU34" s="77"/>
      <c r="AV34" s="77"/>
      <c r="AW34" s="77"/>
      <c r="AX34" s="77"/>
      <c r="AY34" s="78" t="str">
        <f t="shared" si="23"/>
        <v>#REF!</v>
      </c>
      <c r="AZ34" s="77"/>
      <c r="BA34" s="78" t="str">
        <f t="shared" si="24"/>
        <v>#REF!</v>
      </c>
      <c r="BB34" s="77"/>
      <c r="BC34" s="78" t="str">
        <f t="shared" si="25"/>
        <v>#REF!</v>
      </c>
      <c r="BD34" s="77"/>
      <c r="BE34" s="77"/>
      <c r="BF34" s="77"/>
      <c r="BG34" s="77"/>
      <c r="BH34" s="77"/>
      <c r="BI34" s="77"/>
      <c r="BJ34" s="77"/>
      <c r="BK34" s="79" t="str">
        <f t="shared" si="65"/>
        <v>#REF!</v>
      </c>
      <c r="BL34" s="77"/>
      <c r="BM34" s="79" t="str">
        <f t="shared" si="28"/>
        <v>#REF!</v>
      </c>
      <c r="BN34" s="77"/>
      <c r="BO34" s="77"/>
      <c r="BP34" s="77"/>
      <c r="BQ34" s="77"/>
      <c r="BR34" s="77"/>
      <c r="BS34" s="79" t="str">
        <f t="shared" si="31"/>
        <v>#REF!</v>
      </c>
      <c r="BT34" s="77"/>
      <c r="BU34" s="77" t="str">
        <f t="shared" si="32"/>
        <v>#REF!</v>
      </c>
      <c r="BV34" s="77"/>
      <c r="BW34" s="77"/>
      <c r="BX34" s="77"/>
    </row>
    <row r="35">
      <c r="A35" s="78" t="str">
        <f t="shared" si="1"/>
        <v>#REF!</v>
      </c>
      <c r="B35" s="77"/>
      <c r="C35" s="77"/>
      <c r="D35" s="77"/>
      <c r="E35" s="77"/>
      <c r="F35" s="77"/>
      <c r="G35" s="77"/>
      <c r="H35" s="77"/>
      <c r="I35" s="77"/>
      <c r="J35" s="77"/>
      <c r="K35" s="77"/>
      <c r="L35" s="77"/>
      <c r="M35" s="77"/>
      <c r="N35" s="77"/>
      <c r="P35" s="77"/>
      <c r="Q35" s="77"/>
      <c r="R35" s="77"/>
      <c r="S35" s="78" t="str">
        <f t="shared" ref="S35:S39" si="66">CONCATENATE('Term Reference Guide (in-progress)'!B3," [",'Term Reference Guide (in-progress)'!C3,"]")</f>
        <v>#REF!</v>
      </c>
      <c r="T35" s="77"/>
      <c r="U35" s="77"/>
      <c r="V35" s="77"/>
      <c r="W35" s="77"/>
      <c r="X35" s="77"/>
      <c r="AD35" s="77"/>
      <c r="AE35" s="77"/>
      <c r="AF35" s="77"/>
      <c r="AG35" s="77"/>
      <c r="AH35" s="77"/>
      <c r="AI35" s="77"/>
      <c r="AJ35" s="77"/>
      <c r="AK35" s="77"/>
      <c r="AL35" s="77"/>
      <c r="AM35" s="77"/>
      <c r="AN35" s="77"/>
      <c r="AO35" s="77"/>
      <c r="AP35" s="77"/>
      <c r="AQ35" s="77"/>
      <c r="AR35" s="77"/>
      <c r="AS35" s="77"/>
      <c r="AT35" s="77"/>
      <c r="AU35" s="77"/>
      <c r="AV35" s="77"/>
      <c r="AW35" s="77"/>
      <c r="AX35" s="77"/>
      <c r="AY35" s="78" t="str">
        <f t="shared" si="23"/>
        <v>#REF!</v>
      </c>
      <c r="AZ35" s="77"/>
      <c r="BA35" s="78" t="str">
        <f t="shared" si="24"/>
        <v>#REF!</v>
      </c>
      <c r="BB35" s="77"/>
      <c r="BC35" s="78" t="str">
        <f t="shared" si="25"/>
        <v>#REF!</v>
      </c>
      <c r="BD35" s="77"/>
      <c r="BE35" s="77"/>
      <c r="BF35" s="77"/>
      <c r="BG35" s="77"/>
      <c r="BH35" s="77"/>
      <c r="BI35" s="77"/>
      <c r="BJ35" s="77"/>
      <c r="BK35" s="79" t="str">
        <f t="shared" si="65"/>
        <v>#REF!</v>
      </c>
      <c r="BL35" s="77"/>
      <c r="BM35" s="79" t="str">
        <f t="shared" si="28"/>
        <v>#REF!</v>
      </c>
      <c r="BN35" s="77"/>
      <c r="BO35" s="77"/>
      <c r="BP35" s="77"/>
      <c r="BQ35" s="77"/>
      <c r="BR35" s="77"/>
      <c r="BS35" s="79" t="str">
        <f t="shared" si="31"/>
        <v>#REF!</v>
      </c>
      <c r="BT35" s="77"/>
      <c r="BU35" s="77" t="str">
        <f>CONCATENATE('Term Reference Guide (in-progress)'!B3," [",'Term Reference Guide (in-progress)'!C3,"]")</f>
        <v>#REF!</v>
      </c>
      <c r="BV35" s="77"/>
      <c r="BW35" s="77"/>
      <c r="BX35" s="77"/>
    </row>
    <row r="36">
      <c r="A36" s="78" t="str">
        <f t="shared" si="1"/>
        <v>#REF!</v>
      </c>
      <c r="B36" s="77"/>
      <c r="C36" s="77"/>
      <c r="D36" s="77"/>
      <c r="E36" s="77"/>
      <c r="F36" s="77"/>
      <c r="G36" s="77"/>
      <c r="H36" s="77"/>
      <c r="I36" s="77"/>
      <c r="J36" s="77"/>
      <c r="K36" s="77"/>
      <c r="L36" s="77"/>
      <c r="M36" s="77"/>
      <c r="N36" s="77"/>
      <c r="P36" s="77"/>
      <c r="Q36" s="77"/>
      <c r="R36" s="77"/>
      <c r="S36" s="78" t="str">
        <f t="shared" si="66"/>
        <v>#REF!</v>
      </c>
      <c r="T36" s="77"/>
      <c r="U36" s="77"/>
      <c r="V36" s="77"/>
      <c r="W36" s="77"/>
      <c r="X36" s="77"/>
      <c r="Y36" s="78"/>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8" t="str">
        <f t="shared" si="23"/>
        <v>#REF!</v>
      </c>
      <c r="AZ36" s="77"/>
      <c r="BA36" s="78" t="str">
        <f t="shared" si="24"/>
        <v>#REF!</v>
      </c>
      <c r="BB36" s="77"/>
      <c r="BC36" s="78" t="str">
        <f t="shared" si="25"/>
        <v>#REF!</v>
      </c>
      <c r="BD36" s="77"/>
      <c r="BE36" s="77"/>
      <c r="BF36" s="77"/>
      <c r="BG36" s="77"/>
      <c r="BH36" s="77"/>
      <c r="BI36" s="77"/>
      <c r="BJ36" s="77"/>
      <c r="BK36" s="84" t="s">
        <v>117</v>
      </c>
      <c r="BL36" s="77"/>
      <c r="BM36" s="79" t="str">
        <f t="shared" si="28"/>
        <v>#REF!</v>
      </c>
      <c r="BN36" s="77"/>
      <c r="BO36" s="77"/>
      <c r="BP36" s="77"/>
      <c r="BQ36" s="77"/>
      <c r="BR36" s="77"/>
      <c r="BS36" s="79" t="str">
        <f t="shared" si="31"/>
        <v>#REF!</v>
      </c>
      <c r="BT36" s="77"/>
      <c r="BU36" s="77" t="str">
        <f>CONCATENATE('Term Reference Guide (in-progress)'!B6," [",'Term Reference Guide (in-progress)'!C6,"]")</f>
        <v>#REF!</v>
      </c>
      <c r="BV36" s="77"/>
      <c r="BW36" s="77"/>
      <c r="BX36" s="77"/>
    </row>
    <row r="37">
      <c r="A37" s="78" t="str">
        <f t="shared" si="1"/>
        <v>#REF!</v>
      </c>
      <c r="B37" s="77"/>
      <c r="C37" s="77"/>
      <c r="D37" s="77"/>
      <c r="E37" s="77"/>
      <c r="F37" s="77"/>
      <c r="G37" s="77"/>
      <c r="H37" s="77"/>
      <c r="I37" s="77"/>
      <c r="J37" s="77"/>
      <c r="K37" s="77"/>
      <c r="L37" s="77"/>
      <c r="M37" s="77"/>
      <c r="N37" s="77"/>
      <c r="P37" s="77"/>
      <c r="Q37" s="77"/>
      <c r="R37" s="77"/>
      <c r="S37" s="78" t="str">
        <f t="shared" si="66"/>
        <v>#REF!</v>
      </c>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8" t="str">
        <f t="shared" si="23"/>
        <v>#REF!</v>
      </c>
      <c r="AZ37" s="77"/>
      <c r="BA37" s="78" t="str">
        <f t="shared" si="24"/>
        <v>#REF!</v>
      </c>
      <c r="BB37" s="77"/>
      <c r="BC37" s="78" t="str">
        <f t="shared" si="25"/>
        <v>#REF!</v>
      </c>
      <c r="BD37" s="77"/>
      <c r="BE37" s="77"/>
      <c r="BF37" s="77"/>
      <c r="BG37" s="77"/>
      <c r="BH37" s="77"/>
      <c r="BI37" s="77"/>
      <c r="BJ37" s="77"/>
      <c r="BK37" s="79" t="str">
        <f t="shared" ref="BK37:BK41" si="67">CONCATENATE('Term Reference Guide (in-progress)'!B3," [",'Term Reference Guide (in-progress)'!C3,"]")</f>
        <v>#REF!</v>
      </c>
      <c r="BL37" s="77"/>
      <c r="BM37" s="79" t="str">
        <f t="shared" si="28"/>
        <v>#REF!</v>
      </c>
      <c r="BN37" s="77"/>
      <c r="BO37" s="77"/>
      <c r="BP37" s="77"/>
      <c r="BQ37" s="77"/>
      <c r="BR37" s="77"/>
      <c r="BS37" s="79" t="str">
        <f t="shared" si="31"/>
        <v>#REF!</v>
      </c>
      <c r="BT37" s="77"/>
      <c r="BU37" s="77" t="str">
        <f t="shared" ref="BU37:BU38" si="68">CONCATENATE('Term Reference Guide (in-progress)'!B4," [",'Term Reference Guide (in-progress)'!C4,"]")</f>
        <v>#REF!</v>
      </c>
      <c r="BV37" s="77"/>
      <c r="BW37" s="77"/>
      <c r="BX37" s="77"/>
    </row>
    <row r="38">
      <c r="A38" s="78" t="str">
        <f t="shared" si="1"/>
        <v>#REF!</v>
      </c>
      <c r="B38" s="77"/>
      <c r="C38" s="77"/>
      <c r="D38" s="77"/>
      <c r="E38" s="77"/>
      <c r="F38" s="77"/>
      <c r="G38" s="77"/>
      <c r="H38" s="77"/>
      <c r="I38" s="77"/>
      <c r="J38" s="77"/>
      <c r="K38" s="77"/>
      <c r="L38" s="77"/>
      <c r="M38" s="77"/>
      <c r="N38" s="77"/>
      <c r="P38" s="77"/>
      <c r="Q38" s="77"/>
      <c r="R38" s="77"/>
      <c r="S38" s="78" t="str">
        <f t="shared" si="66"/>
        <v>#REF!</v>
      </c>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8" t="str">
        <f t="shared" si="23"/>
        <v>#REF!</v>
      </c>
      <c r="AZ38" s="77"/>
      <c r="BA38" s="78" t="str">
        <f t="shared" si="24"/>
        <v>#REF!</v>
      </c>
      <c r="BB38" s="77"/>
      <c r="BC38" s="78" t="str">
        <f t="shared" si="25"/>
        <v>#REF!</v>
      </c>
      <c r="BD38" s="77"/>
      <c r="BE38" s="77"/>
      <c r="BF38" s="77"/>
      <c r="BG38" s="77"/>
      <c r="BH38" s="77"/>
      <c r="BI38" s="77"/>
      <c r="BJ38" s="77"/>
      <c r="BK38" s="79" t="str">
        <f t="shared" si="67"/>
        <v>#REF!</v>
      </c>
      <c r="BL38" s="77"/>
      <c r="BM38" s="79" t="str">
        <f t="shared" si="28"/>
        <v>#REF!</v>
      </c>
      <c r="BN38" s="77"/>
      <c r="BO38" s="77"/>
      <c r="BP38" s="77"/>
      <c r="BQ38" s="77"/>
      <c r="BR38" s="77"/>
      <c r="BS38" s="79" t="str">
        <f t="shared" si="31"/>
        <v>#REF!</v>
      </c>
      <c r="BT38" s="77"/>
      <c r="BU38" s="77" t="str">
        <f t="shared" si="68"/>
        <v>#REF!</v>
      </c>
      <c r="BV38" s="77"/>
      <c r="BW38" s="77"/>
      <c r="BX38" s="77"/>
    </row>
    <row r="39">
      <c r="A39" s="78" t="str">
        <f t="shared" si="1"/>
        <v>#REF!</v>
      </c>
      <c r="B39" s="77"/>
      <c r="C39" s="77"/>
      <c r="D39" s="77"/>
      <c r="E39" s="77"/>
      <c r="F39" s="77"/>
      <c r="G39" s="77"/>
      <c r="H39" s="77"/>
      <c r="I39" s="77"/>
      <c r="J39" s="77"/>
      <c r="K39" s="77"/>
      <c r="L39" s="77"/>
      <c r="M39" s="77"/>
      <c r="N39" s="77"/>
      <c r="O39" s="77"/>
      <c r="P39" s="77"/>
      <c r="Q39" s="77"/>
      <c r="R39" s="77"/>
      <c r="S39" s="78" t="str">
        <f t="shared" si="66"/>
        <v>#REF!</v>
      </c>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8" t="str">
        <f t="shared" si="23"/>
        <v>#REF!</v>
      </c>
      <c r="AZ39" s="77"/>
      <c r="BA39" s="78" t="str">
        <f t="shared" si="24"/>
        <v>#REF!</v>
      </c>
      <c r="BB39" s="77"/>
      <c r="BC39" s="78" t="str">
        <f t="shared" si="25"/>
        <v>#REF!</v>
      </c>
      <c r="BD39" s="77"/>
      <c r="BE39" s="77"/>
      <c r="BF39" s="77"/>
      <c r="BG39" s="77"/>
      <c r="BH39" s="77"/>
      <c r="BI39" s="77"/>
      <c r="BJ39" s="77"/>
      <c r="BK39" s="79" t="str">
        <f t="shared" si="67"/>
        <v>#REF!</v>
      </c>
      <c r="BL39" s="77"/>
      <c r="BM39" s="79" t="str">
        <f t="shared" si="28"/>
        <v>#REF!</v>
      </c>
      <c r="BN39" s="77"/>
      <c r="BO39" s="77"/>
      <c r="BP39" s="77"/>
      <c r="BQ39" s="77"/>
      <c r="BR39" s="77"/>
      <c r="BS39" s="79" t="str">
        <f t="shared" si="31"/>
        <v>#REF!</v>
      </c>
      <c r="BT39" s="77"/>
      <c r="BU39" s="77" t="str">
        <f>CONCATENATE('Term Reference Guide (in-progress)'!B7," [",'Term Reference Guide (in-progress)'!C7,"]")</f>
        <v>#REF!</v>
      </c>
      <c r="BV39" s="77"/>
      <c r="BW39" s="77"/>
      <c r="BX39" s="77"/>
    </row>
    <row r="40">
      <c r="A40" s="78" t="str">
        <f t="shared" si="1"/>
        <v>#REF!</v>
      </c>
      <c r="B40" s="77"/>
      <c r="C40" s="77"/>
      <c r="D40" s="77"/>
      <c r="E40" s="77"/>
      <c r="F40" s="77"/>
      <c r="G40" s="77"/>
      <c r="H40" s="77"/>
      <c r="I40" s="77"/>
      <c r="J40" s="77"/>
      <c r="K40" s="77"/>
      <c r="L40" s="77"/>
      <c r="M40" s="77"/>
      <c r="N40" s="77"/>
      <c r="O40" s="77"/>
      <c r="P40" s="77"/>
      <c r="Q40" s="77"/>
      <c r="R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8" t="str">
        <f t="shared" si="23"/>
        <v>#REF!</v>
      </c>
      <c r="AZ40" s="77"/>
      <c r="BA40" s="78" t="str">
        <f t="shared" si="24"/>
        <v>#REF!</v>
      </c>
      <c r="BB40" s="77"/>
      <c r="BC40" s="78" t="str">
        <f t="shared" si="25"/>
        <v>#REF!</v>
      </c>
      <c r="BD40" s="77"/>
      <c r="BE40" s="77"/>
      <c r="BF40" s="77"/>
      <c r="BG40" s="77"/>
      <c r="BH40" s="77"/>
      <c r="BI40" s="77"/>
      <c r="BJ40" s="77"/>
      <c r="BK40" s="79" t="str">
        <f t="shared" si="67"/>
        <v>#REF!</v>
      </c>
      <c r="BL40" s="77"/>
      <c r="BM40" s="79" t="str">
        <f t="shared" si="28"/>
        <v>#REF!</v>
      </c>
      <c r="BN40" s="77"/>
      <c r="BO40" s="77"/>
      <c r="BP40" s="77"/>
      <c r="BQ40" s="77"/>
      <c r="BR40" s="77"/>
      <c r="BS40" s="79" t="str">
        <f t="shared" si="31"/>
        <v>#REF!</v>
      </c>
      <c r="BT40" s="77"/>
      <c r="BU40" s="77"/>
      <c r="BV40" s="77"/>
      <c r="BW40" s="77"/>
      <c r="BX40" s="77"/>
    </row>
    <row r="41">
      <c r="A41" s="78" t="str">
        <f t="shared" si="1"/>
        <v>#REF!</v>
      </c>
      <c r="B41" s="77"/>
      <c r="C41" s="77"/>
      <c r="D41" s="77"/>
      <c r="E41" s="77"/>
      <c r="F41" s="77"/>
      <c r="G41" s="77"/>
      <c r="H41" s="77"/>
      <c r="I41" s="77"/>
      <c r="J41" s="77"/>
      <c r="K41" s="77"/>
      <c r="L41" s="77"/>
      <c r="M41" s="77"/>
      <c r="N41" s="77"/>
      <c r="O41" s="77"/>
      <c r="P41" s="77"/>
      <c r="Q41" s="77"/>
      <c r="R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8" t="str">
        <f t="shared" si="23"/>
        <v>#REF!</v>
      </c>
      <c r="AZ41" s="77"/>
      <c r="BA41" s="78" t="str">
        <f t="shared" si="24"/>
        <v>#REF!</v>
      </c>
      <c r="BB41" s="77"/>
      <c r="BC41" s="78" t="str">
        <f t="shared" si="25"/>
        <v>#REF!</v>
      </c>
      <c r="BD41" s="77"/>
      <c r="BE41" s="77"/>
      <c r="BF41" s="77"/>
      <c r="BG41" s="77"/>
      <c r="BH41" s="77"/>
      <c r="BI41" s="77"/>
      <c r="BJ41" s="77"/>
      <c r="BK41" s="79" t="str">
        <f t="shared" si="67"/>
        <v>#REF!</v>
      </c>
      <c r="BL41" s="77"/>
      <c r="BM41" s="79" t="str">
        <f t="shared" si="28"/>
        <v>#REF!</v>
      </c>
      <c r="BN41" s="77"/>
      <c r="BO41" s="77"/>
      <c r="BP41" s="77"/>
      <c r="BQ41" s="77"/>
      <c r="BR41" s="77"/>
      <c r="BS41" s="79" t="str">
        <f t="shared" si="31"/>
        <v>#REF!</v>
      </c>
      <c r="BT41" s="77"/>
      <c r="BU41" s="77"/>
      <c r="BV41" s="77"/>
      <c r="BW41" s="77"/>
      <c r="BX41" s="77"/>
    </row>
    <row r="42">
      <c r="A42" s="78" t="str">
        <f t="shared" si="1"/>
        <v>#REF!</v>
      </c>
      <c r="B42" s="77"/>
      <c r="C42" s="77"/>
      <c r="D42" s="77"/>
      <c r="E42" s="77"/>
      <c r="F42" s="77"/>
      <c r="G42" s="77"/>
      <c r="H42" s="77"/>
      <c r="I42" s="77"/>
      <c r="J42" s="77"/>
      <c r="K42" s="77"/>
      <c r="L42" s="77"/>
      <c r="M42" s="77"/>
      <c r="N42" s="77"/>
      <c r="O42" s="77"/>
      <c r="P42" s="77"/>
      <c r="Q42" s="77"/>
      <c r="R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8" t="str">
        <f t="shared" si="23"/>
        <v>#REF!</v>
      </c>
      <c r="AZ42" s="77"/>
      <c r="BA42" s="78" t="str">
        <f t="shared" si="24"/>
        <v>#REF!</v>
      </c>
      <c r="BB42" s="78"/>
      <c r="BC42" s="78" t="str">
        <f t="shared" si="25"/>
        <v>#REF!</v>
      </c>
      <c r="BD42" s="77"/>
      <c r="BE42" s="77"/>
      <c r="BF42" s="77"/>
      <c r="BG42" s="77"/>
      <c r="BH42" s="77"/>
      <c r="BI42" s="77"/>
      <c r="BJ42" s="77"/>
      <c r="BK42" s="77"/>
      <c r="BL42" s="77"/>
      <c r="BM42" s="79" t="str">
        <f t="shared" si="28"/>
        <v>#REF!</v>
      </c>
      <c r="BN42" s="77"/>
      <c r="BO42" s="77"/>
      <c r="BP42" s="77"/>
      <c r="BQ42" s="77"/>
      <c r="BR42" s="77"/>
      <c r="BS42" s="79" t="str">
        <f t="shared" si="31"/>
        <v>#REF!</v>
      </c>
      <c r="BT42" s="77"/>
      <c r="BU42" s="77"/>
      <c r="BV42" s="77"/>
      <c r="BW42" s="77"/>
      <c r="BX42" s="77"/>
    </row>
    <row r="43">
      <c r="A43" s="78" t="str">
        <f t="shared" si="1"/>
        <v>#REF!</v>
      </c>
      <c r="B43" s="77"/>
      <c r="C43" s="77"/>
      <c r="D43" s="77"/>
      <c r="E43" s="77"/>
      <c r="F43" s="77"/>
      <c r="G43" s="77"/>
      <c r="H43" s="77"/>
      <c r="I43" s="77"/>
      <c r="J43" s="77"/>
      <c r="K43" s="77"/>
      <c r="L43" s="77"/>
      <c r="M43" s="77"/>
      <c r="N43" s="77"/>
      <c r="O43" s="77"/>
      <c r="P43" s="77"/>
      <c r="Q43" s="77"/>
      <c r="R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8" t="str">
        <f t="shared" si="23"/>
        <v>#REF!</v>
      </c>
      <c r="AZ43" s="77"/>
      <c r="BA43" s="78" t="str">
        <f t="shared" si="24"/>
        <v>#REF!</v>
      </c>
      <c r="BB43" s="77"/>
      <c r="BC43" s="78" t="str">
        <f t="shared" si="25"/>
        <v>#REF!</v>
      </c>
      <c r="BD43" s="77"/>
      <c r="BE43" s="77"/>
      <c r="BF43" s="77"/>
      <c r="BG43" s="77"/>
      <c r="BH43" s="77"/>
      <c r="BI43" s="77"/>
      <c r="BJ43" s="77"/>
      <c r="BK43" s="77"/>
      <c r="BL43" s="77"/>
      <c r="BM43" s="79" t="str">
        <f t="shared" si="28"/>
        <v>#REF!</v>
      </c>
      <c r="BN43" s="77"/>
      <c r="BO43" s="77"/>
      <c r="BP43" s="77"/>
      <c r="BQ43" s="77"/>
      <c r="BR43" s="77"/>
      <c r="BS43" s="79" t="str">
        <f t="shared" si="31"/>
        <v>#REF!</v>
      </c>
      <c r="BT43" s="77"/>
      <c r="BU43" s="77"/>
      <c r="BV43" s="77"/>
      <c r="BW43" s="77"/>
      <c r="BX43" s="77"/>
    </row>
    <row r="44">
      <c r="A44" s="78" t="str">
        <f t="shared" si="1"/>
        <v>#REF!</v>
      </c>
      <c r="B44" s="77"/>
      <c r="C44" s="77"/>
      <c r="D44" s="77"/>
      <c r="E44" s="77"/>
      <c r="F44" s="77"/>
      <c r="G44" s="77"/>
      <c r="H44" s="77"/>
      <c r="I44" s="77"/>
      <c r="J44" s="77"/>
      <c r="K44" s="77"/>
      <c r="L44" s="77"/>
      <c r="M44" s="77"/>
      <c r="N44" s="77"/>
      <c r="O44" s="77"/>
      <c r="P44" s="77"/>
      <c r="Q44" s="77"/>
      <c r="R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8" t="str">
        <f t="shared" si="23"/>
        <v>#REF!</v>
      </c>
      <c r="AZ44" s="77"/>
      <c r="BA44" s="78" t="str">
        <f t="shared" si="24"/>
        <v>#REF!</v>
      </c>
      <c r="BB44" s="77"/>
      <c r="BC44" s="78" t="str">
        <f t="shared" si="25"/>
        <v>#REF!</v>
      </c>
      <c r="BD44" s="77"/>
      <c r="BE44" s="77"/>
      <c r="BF44" s="77"/>
      <c r="BG44" s="77"/>
      <c r="BH44" s="77"/>
      <c r="BI44" s="77"/>
      <c r="BJ44" s="77"/>
      <c r="BK44" s="77"/>
      <c r="BL44" s="77"/>
      <c r="BM44" s="79" t="str">
        <f t="shared" si="28"/>
        <v>#REF!</v>
      </c>
      <c r="BN44" s="77"/>
      <c r="BO44" s="77"/>
      <c r="BP44" s="77"/>
      <c r="BQ44" s="77"/>
      <c r="BR44" s="77"/>
      <c r="BS44" s="79" t="str">
        <f t="shared" si="31"/>
        <v>#REF!</v>
      </c>
      <c r="BT44" s="77"/>
      <c r="BU44" s="77"/>
      <c r="BV44" s="77"/>
      <c r="BW44" s="77"/>
      <c r="BX44" s="77"/>
    </row>
    <row r="45">
      <c r="A45" s="78" t="str">
        <f t="shared" si="1"/>
        <v>#REF!</v>
      </c>
      <c r="B45" s="77"/>
      <c r="C45" s="77"/>
      <c r="D45" s="77"/>
      <c r="E45" s="77"/>
      <c r="F45" s="77"/>
      <c r="G45" s="77"/>
      <c r="H45" s="77"/>
      <c r="I45" s="77"/>
      <c r="J45" s="77"/>
      <c r="K45" s="77"/>
      <c r="L45" s="77"/>
      <c r="M45" s="77"/>
      <c r="N45" s="77"/>
      <c r="O45" s="77"/>
      <c r="P45" s="77"/>
      <c r="Q45" s="77"/>
      <c r="R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8" t="str">
        <f t="shared" si="23"/>
        <v>#REF!</v>
      </c>
      <c r="AZ45" s="77"/>
      <c r="BA45" s="78" t="str">
        <f t="shared" si="24"/>
        <v>#REF!</v>
      </c>
      <c r="BB45" s="77"/>
      <c r="BC45" s="78" t="str">
        <f t="shared" si="25"/>
        <v>#REF!</v>
      </c>
      <c r="BD45" s="77"/>
      <c r="BE45" s="77"/>
      <c r="BF45" s="77"/>
      <c r="BG45" s="77"/>
      <c r="BH45" s="77"/>
      <c r="BI45" s="77"/>
      <c r="BJ45" s="77"/>
      <c r="BK45" s="77"/>
      <c r="BL45" s="77"/>
      <c r="BM45" s="79" t="str">
        <f t="shared" si="28"/>
        <v>#REF!</v>
      </c>
      <c r="BN45" s="77"/>
      <c r="BO45" s="77"/>
      <c r="BP45" s="77"/>
      <c r="BQ45" s="77"/>
      <c r="BR45" s="77"/>
      <c r="BS45" s="79" t="str">
        <f t="shared" si="31"/>
        <v>#REF!</v>
      </c>
      <c r="BT45" s="77"/>
      <c r="BU45" s="77"/>
      <c r="BV45" s="77"/>
      <c r="BW45" s="77"/>
      <c r="BX45" s="77"/>
    </row>
    <row r="46">
      <c r="A46" s="78" t="str">
        <f t="shared" si="1"/>
        <v>#REF!</v>
      </c>
      <c r="B46" s="77"/>
      <c r="C46" s="77"/>
      <c r="D46" s="77"/>
      <c r="E46" s="77"/>
      <c r="F46" s="77"/>
      <c r="G46" s="77"/>
      <c r="H46" s="77"/>
      <c r="I46" s="77"/>
      <c r="J46" s="77"/>
      <c r="K46" s="77"/>
      <c r="L46" s="77"/>
      <c r="M46" s="77"/>
      <c r="N46" s="77"/>
      <c r="O46" s="77"/>
      <c r="P46" s="77"/>
      <c r="Q46" s="77"/>
      <c r="R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8" t="str">
        <f t="shared" si="23"/>
        <v>#REF!</v>
      </c>
      <c r="AZ46" s="77"/>
      <c r="BA46" s="78" t="str">
        <f t="shared" si="24"/>
        <v>#REF!</v>
      </c>
      <c r="BB46" s="77"/>
      <c r="BC46" s="78" t="str">
        <f t="shared" si="25"/>
        <v>#REF!</v>
      </c>
      <c r="BD46" s="77"/>
      <c r="BE46" s="77"/>
      <c r="BF46" s="77"/>
      <c r="BG46" s="77"/>
      <c r="BH46" s="77"/>
      <c r="BI46" s="77"/>
      <c r="BJ46" s="77"/>
      <c r="BK46" s="77"/>
      <c r="BL46" s="77"/>
      <c r="BM46" s="79" t="str">
        <f t="shared" si="28"/>
        <v>#REF!</v>
      </c>
      <c r="BN46" s="77"/>
      <c r="BO46" s="77"/>
      <c r="BP46" s="77"/>
      <c r="BQ46" s="77"/>
      <c r="BR46" s="77"/>
      <c r="BS46" s="79" t="str">
        <f t="shared" si="31"/>
        <v>#REF!</v>
      </c>
      <c r="BT46" s="77"/>
      <c r="BU46" s="77"/>
      <c r="BV46" s="77"/>
      <c r="BW46" s="77"/>
      <c r="BX46" s="77"/>
    </row>
    <row r="47">
      <c r="A47" s="78" t="str">
        <f t="shared" si="1"/>
        <v>#REF!</v>
      </c>
      <c r="B47" s="77"/>
      <c r="C47" s="77"/>
      <c r="D47" s="77"/>
      <c r="E47" s="77"/>
      <c r="F47" s="77"/>
      <c r="G47" s="77"/>
      <c r="H47" s="77"/>
      <c r="I47" s="77"/>
      <c r="J47" s="77"/>
      <c r="K47" s="77"/>
      <c r="L47" s="77"/>
      <c r="M47" s="77"/>
      <c r="N47" s="77"/>
      <c r="O47" s="77"/>
      <c r="P47" s="77"/>
      <c r="Q47" s="77"/>
      <c r="R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8" t="str">
        <f t="shared" si="23"/>
        <v>#REF!</v>
      </c>
      <c r="AZ47" s="77"/>
      <c r="BA47" s="78" t="str">
        <f t="shared" si="24"/>
        <v>#REF!</v>
      </c>
      <c r="BB47" s="77"/>
      <c r="BC47" s="78" t="str">
        <f t="shared" si="25"/>
        <v>#REF!</v>
      </c>
      <c r="BD47" s="78"/>
      <c r="BE47" s="77"/>
      <c r="BF47" s="77"/>
      <c r="BG47" s="77"/>
      <c r="BH47" s="77"/>
      <c r="BI47" s="77"/>
      <c r="BJ47" s="77"/>
      <c r="BK47" s="77"/>
      <c r="BL47" s="77"/>
      <c r="BM47" s="79" t="str">
        <f t="shared" si="28"/>
        <v>#REF!</v>
      </c>
      <c r="BN47" s="77"/>
      <c r="BO47" s="77"/>
      <c r="BP47" s="77"/>
      <c r="BQ47" s="77"/>
      <c r="BR47" s="77"/>
      <c r="BS47" s="79" t="str">
        <f t="shared" si="31"/>
        <v>#REF!</v>
      </c>
      <c r="BT47" s="77"/>
      <c r="BU47" s="77"/>
      <c r="BV47" s="77"/>
      <c r="BW47" s="77"/>
      <c r="BX47" s="77"/>
    </row>
    <row r="48">
      <c r="A48" s="78" t="str">
        <f t="shared" si="1"/>
        <v>#REF!</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8" t="str">
        <f t="shared" si="23"/>
        <v>#REF!</v>
      </c>
      <c r="AZ48" s="77"/>
      <c r="BA48" s="78" t="str">
        <f t="shared" si="24"/>
        <v>#REF!</v>
      </c>
      <c r="BB48" s="77"/>
      <c r="BC48" s="78" t="str">
        <f t="shared" si="25"/>
        <v>#REF!</v>
      </c>
      <c r="BD48" s="77"/>
      <c r="BE48" s="77"/>
      <c r="BF48" s="77"/>
      <c r="BG48" s="77"/>
      <c r="BH48" s="77"/>
      <c r="BI48" s="77"/>
      <c r="BJ48" s="77"/>
      <c r="BK48" s="77"/>
      <c r="BL48" s="77"/>
      <c r="BM48" s="79" t="str">
        <f t="shared" si="28"/>
        <v>#REF!</v>
      </c>
      <c r="BN48" s="77"/>
      <c r="BO48" s="77"/>
      <c r="BP48" s="77"/>
      <c r="BQ48" s="77"/>
      <c r="BR48" s="77"/>
      <c r="BS48" s="79" t="str">
        <f t="shared" ref="BS48:BS52" si="69">CONCATENATE('Term Reference Guide (in-progress)'!B3," [",'Term Reference Guide (in-progress)'!C3,"]")</f>
        <v>#REF!</v>
      </c>
      <c r="BT48" s="77"/>
      <c r="BU48" s="77"/>
      <c r="BV48" s="77"/>
      <c r="BW48" s="77"/>
      <c r="BX48" s="77"/>
    </row>
    <row r="49">
      <c r="A49" s="78" t="str">
        <f t="shared" si="1"/>
        <v>#REF!</v>
      </c>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8" t="str">
        <f t="shared" si="23"/>
        <v>#REF!</v>
      </c>
      <c r="AZ49" s="77"/>
      <c r="BA49" s="78" t="str">
        <f t="shared" si="24"/>
        <v>#REF!</v>
      </c>
      <c r="BB49" s="77"/>
      <c r="BC49" s="78" t="str">
        <f t="shared" si="25"/>
        <v>#REF!</v>
      </c>
      <c r="BD49" s="77"/>
      <c r="BE49" s="77"/>
      <c r="BF49" s="77"/>
      <c r="BG49" s="77"/>
      <c r="BH49" s="77"/>
      <c r="BI49" s="77"/>
      <c r="BJ49" s="77"/>
      <c r="BK49" s="77"/>
      <c r="BL49" s="77"/>
      <c r="BM49" s="79" t="str">
        <f t="shared" si="28"/>
        <v>#REF!</v>
      </c>
      <c r="BN49" s="77"/>
      <c r="BO49" s="77"/>
      <c r="BP49" s="77"/>
      <c r="BQ49" s="77"/>
      <c r="BR49" s="77"/>
      <c r="BS49" s="79" t="str">
        <f t="shared" si="69"/>
        <v>#REF!</v>
      </c>
      <c r="BT49" s="77"/>
      <c r="BU49" s="77"/>
      <c r="BV49" s="77"/>
      <c r="BW49" s="77"/>
      <c r="BX49" s="77"/>
    </row>
    <row r="50">
      <c r="A50" s="78" t="str">
        <f t="shared" si="1"/>
        <v>#REF!</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8" t="str">
        <f t="shared" si="23"/>
        <v>#REF!</v>
      </c>
      <c r="AZ50" s="77"/>
      <c r="BA50" s="78" t="str">
        <f t="shared" si="24"/>
        <v>#REF!</v>
      </c>
      <c r="BB50" s="77"/>
      <c r="BC50" s="78" t="str">
        <f t="shared" si="25"/>
        <v>#REF!</v>
      </c>
      <c r="BD50" s="85"/>
      <c r="BE50" s="77"/>
      <c r="BF50" s="77"/>
      <c r="BG50" s="77"/>
      <c r="BH50" s="77"/>
      <c r="BI50" s="77"/>
      <c r="BJ50" s="77"/>
      <c r="BK50" s="77"/>
      <c r="BL50" s="77"/>
      <c r="BM50" s="79" t="str">
        <f t="shared" si="28"/>
        <v>#REF!</v>
      </c>
      <c r="BN50" s="77"/>
      <c r="BO50" s="77"/>
      <c r="BP50" s="77"/>
      <c r="BQ50" s="77"/>
      <c r="BR50" s="77"/>
      <c r="BS50" s="79" t="str">
        <f t="shared" si="69"/>
        <v>#REF!</v>
      </c>
      <c r="BT50" s="77"/>
      <c r="BU50" s="77"/>
      <c r="BV50" s="77"/>
      <c r="BW50" s="77"/>
      <c r="BX50" s="77"/>
    </row>
    <row r="51">
      <c r="A51" s="78" t="str">
        <f t="shared" si="1"/>
        <v>#REF!</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8" t="str">
        <f t="shared" si="23"/>
        <v>#REF!</v>
      </c>
      <c r="AZ51" s="77"/>
      <c r="BA51" s="78" t="str">
        <f t="shared" si="24"/>
        <v>#REF!</v>
      </c>
      <c r="BB51" s="77"/>
      <c r="BC51" s="78" t="str">
        <f t="shared" si="25"/>
        <v>#REF!</v>
      </c>
      <c r="BD51" s="86"/>
      <c r="BE51" s="77"/>
      <c r="BF51" s="77"/>
      <c r="BG51" s="77"/>
      <c r="BH51" s="77"/>
      <c r="BI51" s="77"/>
      <c r="BJ51" s="77"/>
      <c r="BK51" s="77"/>
      <c r="BL51" s="77"/>
      <c r="BM51" s="79" t="str">
        <f t="shared" si="28"/>
        <v>#REF!</v>
      </c>
      <c r="BN51" s="77"/>
      <c r="BO51" s="77"/>
      <c r="BP51" s="77"/>
      <c r="BQ51" s="77"/>
      <c r="BR51" s="77"/>
      <c r="BS51" s="79" t="str">
        <f t="shared" si="69"/>
        <v>#REF!</v>
      </c>
      <c r="BT51" s="77"/>
      <c r="BU51" s="77"/>
      <c r="BV51" s="77"/>
      <c r="BW51" s="77"/>
      <c r="BX51" s="77"/>
    </row>
    <row r="52">
      <c r="A52" s="78" t="str">
        <f t="shared" si="1"/>
        <v>#REF!</v>
      </c>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8" t="str">
        <f t="shared" si="23"/>
        <v>#REF!</v>
      </c>
      <c r="AZ52" s="77"/>
      <c r="BA52" s="78" t="str">
        <f t="shared" si="24"/>
        <v>#REF!</v>
      </c>
      <c r="BB52" s="77"/>
      <c r="BC52" s="78" t="str">
        <f t="shared" si="25"/>
        <v>#REF!</v>
      </c>
      <c r="BD52" s="86"/>
      <c r="BE52" s="77"/>
      <c r="BF52" s="77"/>
      <c r="BG52" s="77"/>
      <c r="BH52" s="77"/>
      <c r="BI52" s="77"/>
      <c r="BJ52" s="77"/>
      <c r="BK52" s="77"/>
      <c r="BL52" s="77"/>
      <c r="BM52" s="79" t="str">
        <f t="shared" si="28"/>
        <v>#REF!</v>
      </c>
      <c r="BN52" s="77"/>
      <c r="BO52" s="77"/>
      <c r="BP52" s="77"/>
      <c r="BQ52" s="77"/>
      <c r="BR52" s="77"/>
      <c r="BS52" s="79" t="str">
        <f t="shared" si="69"/>
        <v>#REF!</v>
      </c>
      <c r="BT52" s="77"/>
      <c r="BU52" s="77"/>
      <c r="BV52" s="77"/>
      <c r="BW52" s="77"/>
      <c r="BX52" s="77"/>
    </row>
    <row r="53">
      <c r="A53" s="78" t="str">
        <f t="shared" si="1"/>
        <v>#REF!</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8" t="str">
        <f t="shared" si="23"/>
        <v>#REF!</v>
      </c>
      <c r="AZ53" s="77"/>
      <c r="BA53" s="78" t="str">
        <f t="shared" si="24"/>
        <v>#REF!</v>
      </c>
      <c r="BB53" s="77"/>
      <c r="BC53" s="78" t="str">
        <f t="shared" si="25"/>
        <v>#REF!</v>
      </c>
      <c r="BD53" s="86"/>
      <c r="BE53" s="77"/>
      <c r="BF53" s="77"/>
      <c r="BG53" s="77"/>
      <c r="BH53" s="77"/>
      <c r="BI53" s="77"/>
      <c r="BJ53" s="77"/>
      <c r="BK53" s="77"/>
      <c r="BL53" s="77"/>
      <c r="BM53" s="79" t="str">
        <f t="shared" si="28"/>
        <v>#REF!</v>
      </c>
      <c r="BN53" s="77"/>
      <c r="BO53" s="77"/>
      <c r="BP53" s="77"/>
      <c r="BQ53" s="77"/>
      <c r="BR53" s="77"/>
      <c r="BV53" s="77"/>
      <c r="BW53" s="77"/>
      <c r="BX53" s="77"/>
    </row>
    <row r="54">
      <c r="A54" s="78" t="str">
        <f t="shared" si="1"/>
        <v>#REF!</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8" t="str">
        <f t="shared" si="23"/>
        <v>#REF!</v>
      </c>
      <c r="AZ54" s="77"/>
      <c r="BA54" s="78" t="str">
        <f t="shared" si="24"/>
        <v>#REF!</v>
      </c>
      <c r="BB54" s="77"/>
      <c r="BC54" s="78" t="str">
        <f t="shared" si="25"/>
        <v>#REF!</v>
      </c>
      <c r="BD54" s="86"/>
      <c r="BE54" s="77"/>
      <c r="BF54" s="77"/>
      <c r="BG54" s="77"/>
      <c r="BH54" s="77"/>
      <c r="BI54" s="77"/>
      <c r="BJ54" s="77"/>
      <c r="BK54" s="77"/>
      <c r="BL54" s="77"/>
      <c r="BM54" s="79" t="str">
        <f t="shared" si="28"/>
        <v>#REF!</v>
      </c>
      <c r="BN54" s="77"/>
      <c r="BO54" s="77"/>
      <c r="BP54" s="77"/>
      <c r="BQ54" s="77"/>
      <c r="BR54" s="77"/>
      <c r="BV54" s="77"/>
      <c r="BW54" s="77"/>
      <c r="BX54" s="77"/>
    </row>
    <row r="55">
      <c r="A55" s="78" t="str">
        <f t="shared" si="1"/>
        <v>#REF!</v>
      </c>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8" t="str">
        <f t="shared" si="23"/>
        <v>#REF!</v>
      </c>
      <c r="AZ55" s="77"/>
      <c r="BA55" s="78" t="str">
        <f t="shared" si="24"/>
        <v>#REF!</v>
      </c>
      <c r="BB55" s="77"/>
      <c r="BC55" s="78" t="str">
        <f t="shared" si="25"/>
        <v>#REF!</v>
      </c>
      <c r="BD55" s="85"/>
      <c r="BE55" s="77"/>
      <c r="BF55" s="77"/>
      <c r="BG55" s="77"/>
      <c r="BH55" s="77"/>
      <c r="BI55" s="77"/>
      <c r="BJ55" s="77"/>
      <c r="BK55" s="77"/>
      <c r="BL55" s="77"/>
      <c r="BM55" s="79" t="str">
        <f t="shared" si="28"/>
        <v>#REF!</v>
      </c>
      <c r="BN55" s="77"/>
      <c r="BO55" s="77"/>
      <c r="BP55" s="77"/>
      <c r="BQ55" s="77"/>
      <c r="BR55" s="77"/>
      <c r="BV55" s="77"/>
      <c r="BW55" s="77"/>
      <c r="BX55" s="77"/>
    </row>
    <row r="56">
      <c r="A56" s="78" t="str">
        <f t="shared" si="1"/>
        <v>#REF!</v>
      </c>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8" t="str">
        <f t="shared" si="23"/>
        <v>#REF!</v>
      </c>
      <c r="AZ56" s="77"/>
      <c r="BA56" s="78" t="str">
        <f t="shared" si="24"/>
        <v>#REF!</v>
      </c>
      <c r="BB56" s="77"/>
      <c r="BC56" s="78" t="str">
        <f t="shared" si="25"/>
        <v>#REF!</v>
      </c>
      <c r="BD56" s="86"/>
      <c r="BE56" s="77"/>
      <c r="BF56" s="77"/>
      <c r="BG56" s="77"/>
      <c r="BH56" s="77"/>
      <c r="BI56" s="77"/>
      <c r="BJ56" s="77"/>
      <c r="BK56" s="77"/>
      <c r="BL56" s="77"/>
      <c r="BM56" s="79" t="str">
        <f t="shared" si="28"/>
        <v>#REF!</v>
      </c>
      <c r="BN56" s="77"/>
      <c r="BO56" s="77"/>
      <c r="BP56" s="77"/>
      <c r="BQ56" s="77"/>
      <c r="BR56" s="77"/>
      <c r="BV56" s="77"/>
      <c r="BW56" s="77"/>
      <c r="BX56" s="77"/>
    </row>
    <row r="57">
      <c r="A57" s="78" t="str">
        <f t="shared" si="1"/>
        <v>#REF!</v>
      </c>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8" t="str">
        <f t="shared" si="23"/>
        <v>#REF!</v>
      </c>
      <c r="AZ57" s="77"/>
      <c r="BA57" s="78" t="str">
        <f t="shared" si="24"/>
        <v>#REF!</v>
      </c>
      <c r="BB57" s="77"/>
      <c r="BC57" s="78" t="str">
        <f t="shared" si="25"/>
        <v>#REF!</v>
      </c>
      <c r="BD57" s="86"/>
      <c r="BE57" s="77"/>
      <c r="BF57" s="77"/>
      <c r="BG57" s="77"/>
      <c r="BH57" s="77"/>
      <c r="BI57" s="77"/>
      <c r="BJ57" s="77"/>
      <c r="BK57" s="77"/>
      <c r="BL57" s="77"/>
      <c r="BM57" s="79" t="str">
        <f t="shared" si="28"/>
        <v>#REF!</v>
      </c>
      <c r="BN57" s="77"/>
      <c r="BO57" s="77"/>
      <c r="BP57" s="77"/>
      <c r="BQ57" s="77"/>
      <c r="BR57" s="77"/>
      <c r="BV57" s="77"/>
      <c r="BW57" s="77"/>
      <c r="BX57" s="77"/>
    </row>
    <row r="58">
      <c r="A58" s="78" t="str">
        <f t="shared" si="1"/>
        <v>#REF!</v>
      </c>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8" t="str">
        <f t="shared" si="23"/>
        <v>#REF!</v>
      </c>
      <c r="AZ58" s="77"/>
      <c r="BA58" s="78" t="str">
        <f t="shared" si="24"/>
        <v>#REF!</v>
      </c>
      <c r="BB58" s="77"/>
      <c r="BC58" s="78" t="str">
        <f t="shared" si="25"/>
        <v>#REF!</v>
      </c>
      <c r="BD58" s="86"/>
      <c r="BE58" s="77"/>
      <c r="BF58" s="77"/>
      <c r="BG58" s="77"/>
      <c r="BH58" s="77"/>
      <c r="BI58" s="77"/>
      <c r="BJ58" s="77"/>
      <c r="BK58" s="77"/>
      <c r="BL58" s="77"/>
      <c r="BM58" s="79" t="str">
        <f t="shared" si="28"/>
        <v>#REF!</v>
      </c>
      <c r="BN58" s="77"/>
      <c r="BO58" s="77"/>
      <c r="BP58" s="77"/>
      <c r="BQ58" s="77"/>
      <c r="BR58" s="77"/>
      <c r="BV58" s="77"/>
      <c r="BW58" s="77"/>
      <c r="BX58" s="77"/>
    </row>
    <row r="59">
      <c r="A59" s="78" t="str">
        <f t="shared" si="1"/>
        <v>#REF!</v>
      </c>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8" t="str">
        <f t="shared" si="23"/>
        <v>#REF!</v>
      </c>
      <c r="AZ59" s="77"/>
      <c r="BA59" s="78" t="str">
        <f t="shared" si="24"/>
        <v>#REF!</v>
      </c>
      <c r="BB59" s="77"/>
      <c r="BC59" s="78" t="str">
        <f t="shared" si="25"/>
        <v>#REF!</v>
      </c>
      <c r="BD59" s="86"/>
      <c r="BE59" s="77"/>
      <c r="BF59" s="77"/>
      <c r="BG59" s="77"/>
      <c r="BH59" s="77"/>
      <c r="BI59" s="77"/>
      <c r="BJ59" s="77"/>
      <c r="BK59" s="77"/>
      <c r="BL59" s="77"/>
      <c r="BM59" s="79" t="str">
        <f t="shared" si="28"/>
        <v>#REF!</v>
      </c>
      <c r="BN59" s="77"/>
      <c r="BO59" s="77"/>
      <c r="BP59" s="77"/>
      <c r="BQ59" s="77"/>
      <c r="BR59" s="77"/>
      <c r="BV59" s="77"/>
      <c r="BW59" s="77"/>
      <c r="BX59" s="77"/>
    </row>
    <row r="60">
      <c r="A60" s="78" t="str">
        <f t="shared" si="1"/>
        <v>#REF!</v>
      </c>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8" t="str">
        <f t="shared" si="23"/>
        <v>#REF!</v>
      </c>
      <c r="AZ60" s="77"/>
      <c r="BA60" s="78" t="str">
        <f t="shared" si="24"/>
        <v>#REF!</v>
      </c>
      <c r="BB60" s="77"/>
      <c r="BC60" s="78" t="str">
        <f t="shared" si="25"/>
        <v>#REF!</v>
      </c>
      <c r="BD60" s="86"/>
      <c r="BE60" s="77"/>
      <c r="BF60" s="77"/>
      <c r="BG60" s="77"/>
      <c r="BH60" s="77"/>
      <c r="BI60" s="77"/>
      <c r="BJ60" s="77"/>
      <c r="BK60" s="77"/>
      <c r="BL60" s="77"/>
      <c r="BM60" s="79" t="str">
        <f t="shared" si="28"/>
        <v>#REF!</v>
      </c>
      <c r="BN60" s="77"/>
      <c r="BO60" s="77"/>
      <c r="BP60" s="77"/>
      <c r="BQ60" s="77"/>
      <c r="BR60" s="77"/>
      <c r="BV60" s="77"/>
      <c r="BW60" s="77"/>
      <c r="BX60" s="77"/>
    </row>
    <row r="61">
      <c r="A61" s="78" t="str">
        <f t="shared" si="1"/>
        <v>#REF!</v>
      </c>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8" t="str">
        <f t="shared" si="23"/>
        <v>#REF!</v>
      </c>
      <c r="AZ61" s="77"/>
      <c r="BA61" s="78" t="str">
        <f t="shared" si="24"/>
        <v>#REF!</v>
      </c>
      <c r="BB61" s="77"/>
      <c r="BC61" s="78" t="str">
        <f t="shared" si="25"/>
        <v>#REF!</v>
      </c>
      <c r="BD61" s="86"/>
      <c r="BE61" s="77"/>
      <c r="BF61" s="77"/>
      <c r="BG61" s="77"/>
      <c r="BH61" s="77"/>
      <c r="BI61" s="77"/>
      <c r="BJ61" s="77"/>
      <c r="BK61" s="77"/>
      <c r="BL61" s="77"/>
      <c r="BM61" s="79" t="str">
        <f t="shared" si="28"/>
        <v>#REF!</v>
      </c>
      <c r="BN61" s="77"/>
      <c r="BO61" s="77"/>
      <c r="BP61" s="77"/>
      <c r="BQ61" s="77"/>
      <c r="BR61" s="77"/>
      <c r="BS61" s="77"/>
      <c r="BT61" s="77"/>
      <c r="BU61" s="77"/>
      <c r="BV61" s="77"/>
      <c r="BW61" s="77"/>
      <c r="BX61" s="77"/>
    </row>
    <row r="62">
      <c r="A62" s="78" t="str">
        <f t="shared" si="1"/>
        <v>#REF!</v>
      </c>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8" t="str">
        <f t="shared" si="23"/>
        <v>#REF!</v>
      </c>
      <c r="AZ62" s="77"/>
      <c r="BA62" s="78" t="str">
        <f t="shared" si="24"/>
        <v>#REF!</v>
      </c>
      <c r="BB62" s="77"/>
      <c r="BC62" s="78" t="str">
        <f t="shared" si="25"/>
        <v>#REF!</v>
      </c>
      <c r="BD62" s="86"/>
      <c r="BE62" s="77"/>
      <c r="BF62" s="77"/>
      <c r="BG62" s="77"/>
      <c r="BH62" s="77"/>
      <c r="BI62" s="77"/>
      <c r="BJ62" s="77"/>
      <c r="BK62" s="77"/>
      <c r="BL62" s="77"/>
      <c r="BM62" s="79" t="str">
        <f t="shared" si="28"/>
        <v>#REF!</v>
      </c>
      <c r="BN62" s="77"/>
      <c r="BO62" s="77"/>
      <c r="BP62" s="77"/>
      <c r="BQ62" s="77"/>
      <c r="BR62" s="77"/>
      <c r="BS62" s="77"/>
      <c r="BT62" s="77"/>
      <c r="BU62" s="77"/>
      <c r="BV62" s="77"/>
      <c r="BW62" s="77"/>
      <c r="BX62" s="77"/>
    </row>
    <row r="63">
      <c r="A63" s="78" t="str">
        <f t="shared" si="1"/>
        <v>#REF!</v>
      </c>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8" t="str">
        <f t="shared" si="23"/>
        <v>#REF!</v>
      </c>
      <c r="AZ63" s="77"/>
      <c r="BA63" s="78" t="str">
        <f t="shared" si="24"/>
        <v>#REF!</v>
      </c>
      <c r="BB63" s="77"/>
      <c r="BC63" s="78" t="str">
        <f t="shared" si="25"/>
        <v>#REF!</v>
      </c>
      <c r="BD63" s="86"/>
      <c r="BE63" s="77"/>
      <c r="BF63" s="77"/>
      <c r="BG63" s="77"/>
      <c r="BH63" s="77"/>
      <c r="BI63" s="77"/>
      <c r="BJ63" s="77"/>
      <c r="BK63" s="77"/>
      <c r="BL63" s="77"/>
      <c r="BM63" s="79" t="str">
        <f t="shared" si="28"/>
        <v>#REF!</v>
      </c>
      <c r="BN63" s="77"/>
      <c r="BO63" s="77"/>
      <c r="BP63" s="77"/>
      <c r="BQ63" s="77"/>
      <c r="BR63" s="77"/>
      <c r="BS63" s="77"/>
      <c r="BT63" s="77"/>
      <c r="BU63" s="77"/>
      <c r="BV63" s="77"/>
      <c r="BW63" s="77"/>
      <c r="BX63" s="77"/>
    </row>
    <row r="64">
      <c r="A64" s="78" t="str">
        <f t="shared" si="1"/>
        <v>#REF!</v>
      </c>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8" t="str">
        <f t="shared" si="23"/>
        <v>#REF!</v>
      </c>
      <c r="AZ64" s="77"/>
      <c r="BA64" s="78" t="str">
        <f t="shared" si="24"/>
        <v>#REF!</v>
      </c>
      <c r="BB64" s="77"/>
      <c r="BC64" s="78" t="str">
        <f t="shared" si="25"/>
        <v>#REF!</v>
      </c>
      <c r="BD64" s="86"/>
      <c r="BE64" s="77"/>
      <c r="BF64" s="77"/>
      <c r="BG64" s="77"/>
      <c r="BH64" s="77"/>
      <c r="BI64" s="77"/>
      <c r="BJ64" s="77"/>
      <c r="BK64" s="77"/>
      <c r="BL64" s="77"/>
      <c r="BM64" s="79" t="str">
        <f t="shared" ref="BM64:BM68" si="70">CONCATENATE('Term Reference Guide (in-progress)'!B3," [",'Term Reference Guide (in-progress)'!C3,"]")</f>
        <v>#REF!</v>
      </c>
      <c r="BN64" s="77"/>
      <c r="BO64" s="77"/>
      <c r="BP64" s="77"/>
      <c r="BQ64" s="77"/>
      <c r="BR64" s="77"/>
      <c r="BS64" s="77"/>
      <c r="BT64" s="77"/>
      <c r="BU64" s="77"/>
      <c r="BV64" s="77"/>
      <c r="BW64" s="77"/>
      <c r="BX64" s="77"/>
    </row>
    <row r="65">
      <c r="A65" s="78" t="str">
        <f t="shared" si="1"/>
        <v>#REF!</v>
      </c>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8" t="str">
        <f t="shared" si="23"/>
        <v>#REF!</v>
      </c>
      <c r="AZ65" s="77"/>
      <c r="BA65" s="78" t="str">
        <f t="shared" si="24"/>
        <v>#REF!</v>
      </c>
      <c r="BB65" s="77"/>
      <c r="BC65" s="78" t="str">
        <f t="shared" si="25"/>
        <v>#REF!</v>
      </c>
      <c r="BD65" s="86"/>
      <c r="BE65" s="77"/>
      <c r="BF65" s="77"/>
      <c r="BG65" s="77"/>
      <c r="BH65" s="77"/>
      <c r="BI65" s="77"/>
      <c r="BJ65" s="77"/>
      <c r="BK65" s="77"/>
      <c r="BL65" s="77"/>
      <c r="BM65" s="79" t="str">
        <f t="shared" si="70"/>
        <v>#REF!</v>
      </c>
      <c r="BN65" s="77"/>
      <c r="BO65" s="77"/>
      <c r="BP65" s="77"/>
      <c r="BQ65" s="77"/>
      <c r="BR65" s="77"/>
      <c r="BS65" s="77"/>
      <c r="BT65" s="77"/>
      <c r="BU65" s="77"/>
      <c r="BV65" s="77"/>
      <c r="BW65" s="77"/>
      <c r="BX65" s="77"/>
    </row>
    <row r="66">
      <c r="A66" s="78" t="str">
        <f t="shared" si="1"/>
        <v>#REF!</v>
      </c>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8" t="str">
        <f t="shared" si="23"/>
        <v>#REF!</v>
      </c>
      <c r="AZ66" s="77"/>
      <c r="BA66" s="78" t="str">
        <f t="shared" si="24"/>
        <v>#REF!</v>
      </c>
      <c r="BB66" s="77"/>
      <c r="BC66" s="78" t="str">
        <f t="shared" si="25"/>
        <v>#REF!</v>
      </c>
      <c r="BD66" s="86"/>
      <c r="BE66" s="77"/>
      <c r="BF66" s="77"/>
      <c r="BG66" s="77"/>
      <c r="BH66" s="77"/>
      <c r="BI66" s="77"/>
      <c r="BJ66" s="77"/>
      <c r="BK66" s="77"/>
      <c r="BL66" s="77"/>
      <c r="BM66" s="79" t="str">
        <f t="shared" si="70"/>
        <v>#REF!</v>
      </c>
      <c r="BN66" s="77"/>
      <c r="BO66" s="77"/>
      <c r="BP66" s="77"/>
      <c r="BQ66" s="77"/>
      <c r="BR66" s="77"/>
      <c r="BS66" s="77"/>
      <c r="BT66" s="77"/>
      <c r="BU66" s="77"/>
      <c r="BV66" s="77"/>
      <c r="BW66" s="77"/>
      <c r="BX66" s="77"/>
    </row>
    <row r="67">
      <c r="A67" s="78" t="str">
        <f t="shared" si="1"/>
        <v>#REF!</v>
      </c>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8" t="str">
        <f t="shared" si="23"/>
        <v>#REF!</v>
      </c>
      <c r="AZ67" s="77"/>
      <c r="BA67" s="78" t="str">
        <f t="shared" si="24"/>
        <v>#REF!</v>
      </c>
      <c r="BB67" s="77"/>
      <c r="BC67" s="78" t="str">
        <f t="shared" si="25"/>
        <v>#REF!</v>
      </c>
      <c r="BD67" s="86"/>
      <c r="BE67" s="77"/>
      <c r="BF67" s="77"/>
      <c r="BG67" s="77"/>
      <c r="BH67" s="77"/>
      <c r="BI67" s="77"/>
      <c r="BJ67" s="77"/>
      <c r="BK67" s="77"/>
      <c r="BL67" s="77"/>
      <c r="BM67" s="79" t="str">
        <f t="shared" si="70"/>
        <v>#REF!</v>
      </c>
      <c r="BN67" s="77"/>
      <c r="BO67" s="77"/>
      <c r="BP67" s="77"/>
      <c r="BQ67" s="77"/>
      <c r="BR67" s="77"/>
      <c r="BS67" s="77"/>
      <c r="BT67" s="77"/>
      <c r="BU67" s="77"/>
      <c r="BV67" s="77"/>
      <c r="BW67" s="77"/>
      <c r="BX67" s="77"/>
    </row>
    <row r="68">
      <c r="A68" s="78" t="str">
        <f t="shared" si="1"/>
        <v>#REF!</v>
      </c>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8" t="str">
        <f t="shared" si="23"/>
        <v>#REF!</v>
      </c>
      <c r="AZ68" s="77"/>
      <c r="BA68" s="78" t="str">
        <f t="shared" si="24"/>
        <v>#REF!</v>
      </c>
      <c r="BB68" s="77"/>
      <c r="BC68" s="78" t="str">
        <f t="shared" si="25"/>
        <v>#REF!</v>
      </c>
      <c r="BD68" s="86"/>
      <c r="BE68" s="77"/>
      <c r="BF68" s="77"/>
      <c r="BG68" s="77"/>
      <c r="BH68" s="77"/>
      <c r="BI68" s="77"/>
      <c r="BJ68" s="77"/>
      <c r="BK68" s="77"/>
      <c r="BL68" s="77"/>
      <c r="BM68" s="79" t="str">
        <f t="shared" si="70"/>
        <v>#REF!</v>
      </c>
      <c r="BN68" s="77"/>
      <c r="BO68" s="77"/>
      <c r="BP68" s="77"/>
      <c r="BQ68" s="77"/>
      <c r="BR68" s="77"/>
      <c r="BS68" s="77"/>
      <c r="BT68" s="77"/>
      <c r="BU68" s="77"/>
      <c r="BV68" s="77"/>
      <c r="BW68" s="77"/>
      <c r="BX68" s="77"/>
    </row>
    <row r="69">
      <c r="A69" s="78" t="str">
        <f t="shared" si="1"/>
        <v>#REF!</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8" t="str">
        <f t="shared" si="23"/>
        <v>#REF!</v>
      </c>
      <c r="AZ69" s="77"/>
      <c r="BA69" s="78" t="str">
        <f t="shared" si="24"/>
        <v>#REF!</v>
      </c>
      <c r="BB69" s="77"/>
      <c r="BC69" s="78" t="str">
        <f t="shared" si="25"/>
        <v>#REF!</v>
      </c>
      <c r="BD69" s="86"/>
      <c r="BE69" s="77"/>
      <c r="BF69" s="77"/>
      <c r="BG69" s="77"/>
      <c r="BH69" s="77"/>
      <c r="BI69" s="77"/>
      <c r="BJ69" s="77"/>
      <c r="BN69" s="77"/>
      <c r="BO69" s="77"/>
      <c r="BQ69" s="77"/>
      <c r="BR69" s="77"/>
      <c r="BS69" s="77"/>
      <c r="BT69" s="77"/>
      <c r="BU69" s="77"/>
      <c r="BV69" s="77"/>
      <c r="BW69" s="77"/>
      <c r="BX69" s="77"/>
    </row>
    <row r="70">
      <c r="A70" s="78" t="str">
        <f t="shared" si="1"/>
        <v>#REF!</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8" t="str">
        <f t="shared" si="23"/>
        <v>#REF!</v>
      </c>
      <c r="AZ70" s="77"/>
      <c r="BA70" s="78" t="str">
        <f t="shared" si="24"/>
        <v>#REF!</v>
      </c>
      <c r="BB70" s="77"/>
      <c r="BC70" s="78" t="str">
        <f t="shared" si="25"/>
        <v>#REF!</v>
      </c>
      <c r="BD70" s="86"/>
      <c r="BE70" s="77"/>
      <c r="BF70" s="77"/>
      <c r="BG70" s="77"/>
      <c r="BH70" s="77"/>
      <c r="BI70" s="77"/>
      <c r="BJ70" s="77"/>
      <c r="BN70" s="77"/>
      <c r="BO70" s="77"/>
      <c r="BQ70" s="77"/>
      <c r="BR70" s="77"/>
      <c r="BS70" s="77"/>
      <c r="BT70" s="77"/>
      <c r="BU70" s="77"/>
      <c r="BV70" s="77"/>
      <c r="BW70" s="77"/>
      <c r="BX70" s="77"/>
    </row>
    <row r="71">
      <c r="A71" s="78" t="str">
        <f t="shared" si="1"/>
        <v>#REF!</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8" t="str">
        <f t="shared" si="23"/>
        <v>#REF!</v>
      </c>
      <c r="AZ71" s="77"/>
      <c r="BA71" s="78" t="str">
        <f t="shared" si="24"/>
        <v>#REF!</v>
      </c>
      <c r="BB71" s="77"/>
      <c r="BC71" s="78" t="str">
        <f t="shared" si="25"/>
        <v>#REF!</v>
      </c>
      <c r="BD71" s="86"/>
      <c r="BE71" s="77"/>
      <c r="BF71" s="77"/>
      <c r="BG71" s="77"/>
      <c r="BH71" s="77"/>
      <c r="BI71" s="77"/>
      <c r="BJ71" s="77"/>
      <c r="BN71" s="77"/>
      <c r="BO71" s="77"/>
      <c r="BP71" s="77"/>
      <c r="BQ71" s="77"/>
      <c r="BR71" s="77"/>
      <c r="BS71" s="77"/>
      <c r="BT71" s="77"/>
      <c r="BU71" s="77"/>
      <c r="BV71" s="77"/>
      <c r="BW71" s="77"/>
      <c r="BX71" s="77"/>
    </row>
    <row r="72">
      <c r="A72" s="78" t="str">
        <f t="shared" si="1"/>
        <v>#REF!</v>
      </c>
      <c r="B72" s="78"/>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8" t="str">
        <f t="shared" si="23"/>
        <v>#REF!</v>
      </c>
      <c r="AZ72" s="77"/>
      <c r="BA72" s="78" t="str">
        <f t="shared" si="24"/>
        <v>#REF!</v>
      </c>
      <c r="BB72" s="77"/>
      <c r="BC72" s="78" t="str">
        <f t="shared" si="25"/>
        <v>#REF!</v>
      </c>
      <c r="BD72" s="86"/>
      <c r="BE72" s="77"/>
      <c r="BF72" s="77"/>
      <c r="BG72" s="77"/>
      <c r="BH72" s="77"/>
      <c r="BI72" s="77"/>
      <c r="BJ72" s="77"/>
      <c r="BN72" s="77"/>
      <c r="BO72" s="77"/>
      <c r="BP72" s="77"/>
      <c r="BQ72" s="77"/>
      <c r="BR72" s="77"/>
      <c r="BS72" s="77"/>
      <c r="BT72" s="77"/>
      <c r="BU72" s="77"/>
      <c r="BV72" s="77"/>
      <c r="BW72" s="77"/>
      <c r="BX72" s="77"/>
    </row>
    <row r="73">
      <c r="A73" s="78" t="str">
        <f t="shared" si="1"/>
        <v>#REF!</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8" t="str">
        <f t="shared" si="23"/>
        <v>#REF!</v>
      </c>
      <c r="AZ73" s="77"/>
      <c r="BA73" s="78" t="str">
        <f t="shared" si="24"/>
        <v>#REF!</v>
      </c>
      <c r="BB73" s="77"/>
      <c r="BC73" s="78" t="str">
        <f t="shared" si="25"/>
        <v>#REF!</v>
      </c>
      <c r="BD73" s="86"/>
      <c r="BE73" s="77"/>
      <c r="BF73" s="77"/>
      <c r="BG73" s="77"/>
      <c r="BH73" s="77"/>
      <c r="BI73" s="77"/>
      <c r="BJ73" s="77"/>
      <c r="BN73" s="77"/>
      <c r="BO73" s="77"/>
      <c r="BP73" s="77"/>
      <c r="BQ73" s="77"/>
      <c r="BR73" s="77"/>
      <c r="BS73" s="77"/>
      <c r="BT73" s="77"/>
      <c r="BU73" s="77"/>
      <c r="BV73" s="77"/>
      <c r="BW73" s="77"/>
      <c r="BX73" s="77"/>
    </row>
    <row r="74">
      <c r="A74" s="78" t="str">
        <f t="shared" si="1"/>
        <v>#REF!</v>
      </c>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8" t="str">
        <f t="shared" si="23"/>
        <v>#REF!</v>
      </c>
      <c r="AZ74" s="78"/>
      <c r="BA74" s="78" t="str">
        <f t="shared" si="24"/>
        <v>#REF!</v>
      </c>
      <c r="BB74" s="77"/>
      <c r="BC74" s="78" t="str">
        <f t="shared" si="25"/>
        <v>#REF!</v>
      </c>
      <c r="BD74" s="86"/>
      <c r="BE74" s="77"/>
      <c r="BF74" s="77"/>
      <c r="BG74" s="77"/>
      <c r="BH74" s="77"/>
      <c r="BI74" s="77"/>
      <c r="BJ74" s="77"/>
      <c r="BN74" s="77"/>
      <c r="BO74" s="77"/>
      <c r="BP74" s="77"/>
      <c r="BQ74" s="77"/>
      <c r="BR74" s="77"/>
      <c r="BS74" s="77"/>
      <c r="BT74" s="77"/>
      <c r="BU74" s="77"/>
      <c r="BV74" s="77"/>
      <c r="BW74" s="77"/>
      <c r="BX74" s="77"/>
    </row>
    <row r="75">
      <c r="A75" s="78" t="str">
        <f t="shared" si="1"/>
        <v>#REF!</v>
      </c>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8" t="str">
        <f t="shared" si="23"/>
        <v>#REF!</v>
      </c>
      <c r="AZ75" s="77"/>
      <c r="BA75" s="78" t="str">
        <f t="shared" si="24"/>
        <v>#REF!</v>
      </c>
      <c r="BB75" s="78"/>
      <c r="BC75" s="78" t="str">
        <f t="shared" si="25"/>
        <v>#REF!</v>
      </c>
      <c r="BD75" s="86"/>
      <c r="BE75" s="77"/>
      <c r="BF75" s="77"/>
      <c r="BG75" s="77"/>
      <c r="BH75" s="77"/>
      <c r="BI75" s="77"/>
      <c r="BJ75" s="77"/>
      <c r="BN75" s="77"/>
      <c r="BO75" s="77"/>
      <c r="BP75" s="77"/>
      <c r="BQ75" s="77"/>
      <c r="BR75" s="77"/>
      <c r="BS75" s="77"/>
      <c r="BT75" s="77"/>
      <c r="BU75" s="77"/>
      <c r="BV75" s="77"/>
      <c r="BW75" s="77"/>
      <c r="BX75" s="77"/>
    </row>
    <row r="76">
      <c r="A76" s="78" t="str">
        <f t="shared" si="1"/>
        <v>#REF!</v>
      </c>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8" t="str">
        <f t="shared" si="23"/>
        <v>#REF!</v>
      </c>
      <c r="AZ76" s="77"/>
      <c r="BA76" s="78" t="str">
        <f t="shared" si="24"/>
        <v>#REF!</v>
      </c>
      <c r="BB76" s="77"/>
      <c r="BC76" s="78" t="str">
        <f t="shared" si="25"/>
        <v>#REF!</v>
      </c>
      <c r="BD76" s="86"/>
      <c r="BE76" s="77"/>
      <c r="BF76" s="77"/>
      <c r="BG76" s="77"/>
      <c r="BH76" s="77"/>
      <c r="BI76" s="77"/>
      <c r="BJ76" s="77"/>
      <c r="BN76" s="77"/>
      <c r="BO76" s="77"/>
      <c r="BP76" s="77"/>
      <c r="BQ76" s="77"/>
      <c r="BR76" s="77"/>
      <c r="BS76" s="77"/>
      <c r="BT76" s="77"/>
      <c r="BU76" s="77"/>
      <c r="BV76" s="77"/>
      <c r="BW76" s="77"/>
      <c r="BX76" s="77"/>
    </row>
    <row r="77">
      <c r="A77" s="78" t="str">
        <f t="shared" si="1"/>
        <v>#REF!</v>
      </c>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8" t="str">
        <f t="shared" si="23"/>
        <v>#REF!</v>
      </c>
      <c r="AZ77" s="77"/>
      <c r="BA77" s="78" t="str">
        <f t="shared" si="24"/>
        <v>#REF!</v>
      </c>
      <c r="BB77" s="77"/>
      <c r="BC77" s="78" t="str">
        <f t="shared" si="25"/>
        <v>#REF!</v>
      </c>
      <c r="BD77" s="86"/>
      <c r="BE77" s="77"/>
      <c r="BF77" s="77"/>
      <c r="BG77" s="77"/>
      <c r="BH77" s="77"/>
      <c r="BI77" s="77"/>
      <c r="BJ77" s="77"/>
      <c r="BK77" s="77"/>
      <c r="BL77" s="77"/>
      <c r="BN77" s="77"/>
      <c r="BO77" s="77"/>
      <c r="BP77" s="77"/>
      <c r="BQ77" s="77"/>
      <c r="BR77" s="77"/>
      <c r="BS77" s="77"/>
      <c r="BT77" s="77"/>
      <c r="BU77" s="77"/>
      <c r="BV77" s="77"/>
      <c r="BW77" s="77"/>
      <c r="BX77" s="77"/>
    </row>
    <row r="78">
      <c r="A78" s="78" t="str">
        <f t="shared" si="1"/>
        <v>#REF!</v>
      </c>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8" t="str">
        <f t="shared" si="23"/>
        <v>#REF!</v>
      </c>
      <c r="AZ78" s="77"/>
      <c r="BA78" s="78" t="str">
        <f t="shared" si="24"/>
        <v>#REF!</v>
      </c>
      <c r="BB78" s="77"/>
      <c r="BC78" s="78" t="str">
        <f t="shared" si="25"/>
        <v>#REF!</v>
      </c>
      <c r="BD78" s="86"/>
      <c r="BE78" s="77"/>
      <c r="BF78" s="77"/>
      <c r="BG78" s="77"/>
      <c r="BH78" s="77"/>
      <c r="BI78" s="77"/>
      <c r="BJ78" s="77"/>
      <c r="BK78" s="77"/>
      <c r="BL78" s="77"/>
      <c r="BN78" s="77"/>
      <c r="BO78" s="77"/>
      <c r="BP78" s="77"/>
      <c r="BQ78" s="77"/>
      <c r="BR78" s="77"/>
      <c r="BS78" s="77"/>
      <c r="BT78" s="77"/>
      <c r="BU78" s="77"/>
      <c r="BV78" s="77"/>
      <c r="BW78" s="77"/>
      <c r="BX78" s="77"/>
    </row>
    <row r="79">
      <c r="A79" s="78" t="str">
        <f t="shared" si="1"/>
        <v>#REF!</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8" t="str">
        <f t="shared" si="23"/>
        <v>#REF!</v>
      </c>
      <c r="AZ79" s="77"/>
      <c r="BA79" s="78" t="str">
        <f t="shared" si="24"/>
        <v>#REF!</v>
      </c>
      <c r="BB79" s="77"/>
      <c r="BC79" s="78" t="str">
        <f t="shared" si="25"/>
        <v>#REF!</v>
      </c>
      <c r="BD79" s="86"/>
      <c r="BE79" s="77"/>
      <c r="BF79" s="77"/>
      <c r="BG79" s="77"/>
      <c r="BH79" s="77"/>
      <c r="BI79" s="77"/>
      <c r="BJ79" s="77"/>
      <c r="BK79" s="77"/>
      <c r="BL79" s="77"/>
      <c r="BN79" s="77"/>
      <c r="BO79" s="77"/>
      <c r="BP79" s="77"/>
      <c r="BQ79" s="77"/>
      <c r="BR79" s="77"/>
      <c r="BS79" s="77"/>
      <c r="BT79" s="77"/>
      <c r="BU79" s="77"/>
      <c r="BV79" s="77"/>
      <c r="BW79" s="77"/>
      <c r="BX79" s="77"/>
    </row>
    <row r="80">
      <c r="A80" s="78" t="str">
        <f t="shared" si="1"/>
        <v>#REF!</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8" t="str">
        <f t="shared" si="23"/>
        <v>#REF!</v>
      </c>
      <c r="AZ80" s="77"/>
      <c r="BA80" s="78" t="str">
        <f t="shared" si="24"/>
        <v>#REF!</v>
      </c>
      <c r="BB80" s="77"/>
      <c r="BC80" s="78" t="str">
        <f t="shared" ref="BC80:BC84" si="71">CONCATENATE('Term Reference Guide (in-progress)'!B3," [",'Term Reference Guide (in-progress)'!C3,"]")</f>
        <v>#REF!</v>
      </c>
      <c r="BD80" s="86"/>
      <c r="BE80" s="77"/>
      <c r="BF80" s="77"/>
      <c r="BG80" s="77"/>
      <c r="BH80" s="77"/>
      <c r="BI80" s="77"/>
      <c r="BJ80" s="77"/>
      <c r="BK80" s="77"/>
      <c r="BL80" s="77"/>
      <c r="BN80" s="77"/>
      <c r="BO80" s="77"/>
      <c r="BP80" s="77"/>
      <c r="BQ80" s="77"/>
      <c r="BR80" s="77"/>
      <c r="BS80" s="77"/>
      <c r="BT80" s="77"/>
      <c r="BU80" s="77"/>
      <c r="BV80" s="77"/>
      <c r="BW80" s="77"/>
      <c r="BX80" s="77"/>
    </row>
    <row r="81">
      <c r="A81" s="78" t="str">
        <f t="shared" si="1"/>
        <v>#REF!</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8" t="str">
        <f t="shared" si="23"/>
        <v>#REF!</v>
      </c>
      <c r="AZ81" s="77"/>
      <c r="BA81" s="78" t="str">
        <f t="shared" si="24"/>
        <v>#REF!</v>
      </c>
      <c r="BB81" s="77"/>
      <c r="BC81" s="78" t="str">
        <f t="shared" si="71"/>
        <v>#REF!</v>
      </c>
      <c r="BD81" s="86"/>
      <c r="BE81" s="77"/>
      <c r="BF81" s="77"/>
      <c r="BG81" s="77"/>
      <c r="BH81" s="77"/>
      <c r="BI81" s="77"/>
      <c r="BJ81" s="77"/>
      <c r="BK81" s="77"/>
      <c r="BL81" s="77"/>
      <c r="BM81" s="77"/>
      <c r="BN81" s="77"/>
      <c r="BO81" s="77"/>
      <c r="BP81" s="77"/>
      <c r="BQ81" s="77"/>
      <c r="BR81" s="77"/>
      <c r="BS81" s="77"/>
      <c r="BT81" s="77"/>
      <c r="BU81" s="77"/>
      <c r="BV81" s="77"/>
      <c r="BW81" s="77"/>
      <c r="BX81" s="77"/>
    </row>
    <row r="82">
      <c r="A82" s="78" t="str">
        <f t="shared" si="1"/>
        <v>#REF!</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8" t="str">
        <f t="shared" si="23"/>
        <v>#REF!</v>
      </c>
      <c r="AZ82" s="77"/>
      <c r="BA82" s="78" t="str">
        <f t="shared" si="24"/>
        <v>#REF!</v>
      </c>
      <c r="BB82" s="77"/>
      <c r="BC82" s="78" t="str">
        <f t="shared" si="71"/>
        <v>#REF!</v>
      </c>
      <c r="BD82" s="86"/>
      <c r="BE82" s="77"/>
      <c r="BF82" s="77"/>
      <c r="BG82" s="77"/>
      <c r="BH82" s="77"/>
      <c r="BI82" s="77"/>
      <c r="BJ82" s="77"/>
      <c r="BK82" s="77"/>
      <c r="BL82" s="77"/>
      <c r="BM82" s="77"/>
      <c r="BN82" s="77"/>
      <c r="BO82" s="77"/>
      <c r="BP82" s="77"/>
      <c r="BQ82" s="77"/>
      <c r="BR82" s="77"/>
      <c r="BS82" s="77"/>
      <c r="BT82" s="77"/>
      <c r="BU82" s="77"/>
      <c r="BV82" s="77"/>
      <c r="BW82" s="77"/>
      <c r="BX82" s="77"/>
    </row>
    <row r="83">
      <c r="A83" s="78" t="str">
        <f t="shared" si="1"/>
        <v>#REF!</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8" t="str">
        <f t="shared" si="23"/>
        <v>#REF!</v>
      </c>
      <c r="AZ83" s="77"/>
      <c r="BA83" s="78" t="str">
        <f t="shared" si="24"/>
        <v>#REF!</v>
      </c>
      <c r="BB83" s="77"/>
      <c r="BC83" s="78" t="str">
        <f t="shared" si="71"/>
        <v>#REF!</v>
      </c>
      <c r="BD83" s="86"/>
      <c r="BE83" s="77"/>
      <c r="BF83" s="77"/>
      <c r="BG83" s="77"/>
      <c r="BH83" s="77"/>
      <c r="BI83" s="77"/>
      <c r="BJ83" s="77"/>
      <c r="BK83" s="77"/>
      <c r="BL83" s="77"/>
      <c r="BM83" s="77"/>
      <c r="BN83" s="77"/>
      <c r="BO83" s="77"/>
      <c r="BP83" s="77"/>
      <c r="BQ83" s="77"/>
      <c r="BR83" s="77"/>
      <c r="BS83" s="77"/>
      <c r="BT83" s="77"/>
      <c r="BU83" s="77"/>
      <c r="BV83" s="77"/>
      <c r="BW83" s="77"/>
      <c r="BX83" s="77"/>
    </row>
    <row r="84">
      <c r="A84" s="78" t="str">
        <f t="shared" si="1"/>
        <v>#REF!</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8" t="str">
        <f t="shared" si="23"/>
        <v>#REF!</v>
      </c>
      <c r="AZ84" s="77"/>
      <c r="BA84" s="78" t="str">
        <f t="shared" si="24"/>
        <v>#REF!</v>
      </c>
      <c r="BB84" s="77"/>
      <c r="BC84" s="78" t="str">
        <f t="shared" si="71"/>
        <v>#REF!</v>
      </c>
      <c r="BD84" s="86"/>
      <c r="BE84" s="77"/>
      <c r="BF84" s="77"/>
      <c r="BG84" s="77"/>
      <c r="BH84" s="77"/>
      <c r="BI84" s="77"/>
      <c r="BJ84" s="77"/>
      <c r="BK84" s="77"/>
      <c r="BL84" s="77"/>
      <c r="BM84" s="77"/>
      <c r="BN84" s="77"/>
      <c r="BO84" s="77"/>
      <c r="BP84" s="77"/>
      <c r="BQ84" s="77"/>
      <c r="BR84" s="77"/>
      <c r="BS84" s="77"/>
      <c r="BT84" s="77"/>
      <c r="BU84" s="77"/>
      <c r="BV84" s="77"/>
      <c r="BW84" s="77"/>
      <c r="BX84" s="77"/>
    </row>
    <row r="85">
      <c r="A85" s="78" t="str">
        <f t="shared" si="1"/>
        <v>#REF!</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8" t="str">
        <f t="shared" si="23"/>
        <v>#REF!</v>
      </c>
      <c r="AZ85" s="77"/>
      <c r="BA85" s="78" t="str">
        <f t="shared" si="24"/>
        <v>#REF!</v>
      </c>
      <c r="BB85" s="77"/>
      <c r="BD85" s="86"/>
      <c r="BE85" s="77"/>
      <c r="BF85" s="77"/>
      <c r="BG85" s="77"/>
      <c r="BH85" s="77"/>
      <c r="BI85" s="77"/>
      <c r="BJ85" s="77"/>
      <c r="BK85" s="77"/>
      <c r="BL85" s="77"/>
      <c r="BM85" s="77"/>
      <c r="BN85" s="77"/>
      <c r="BO85" s="77"/>
      <c r="BP85" s="77"/>
      <c r="BQ85" s="77"/>
      <c r="BR85" s="77"/>
      <c r="BS85" s="77"/>
      <c r="BT85" s="77"/>
      <c r="BU85" s="77"/>
      <c r="BV85" s="77"/>
      <c r="BW85" s="77"/>
      <c r="BX85" s="77"/>
    </row>
    <row r="86">
      <c r="A86" s="78" t="str">
        <f t="shared" si="1"/>
        <v>#REF!</v>
      </c>
      <c r="B86" s="78"/>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8" t="str">
        <f t="shared" si="23"/>
        <v>#REF!</v>
      </c>
      <c r="AZ86" s="77"/>
      <c r="BA86" s="78" t="str">
        <f t="shared" si="24"/>
        <v>#REF!</v>
      </c>
      <c r="BB86" s="77"/>
      <c r="BD86" s="86"/>
      <c r="BE86" s="77"/>
      <c r="BF86" s="77"/>
      <c r="BG86" s="77"/>
      <c r="BH86" s="77"/>
      <c r="BI86" s="77"/>
      <c r="BJ86" s="77"/>
      <c r="BK86" s="77"/>
      <c r="BL86" s="77"/>
      <c r="BM86" s="77"/>
      <c r="BN86" s="77"/>
      <c r="BO86" s="77"/>
      <c r="BP86" s="77"/>
      <c r="BQ86" s="77"/>
      <c r="BR86" s="77"/>
      <c r="BS86" s="77"/>
      <c r="BT86" s="77"/>
      <c r="BU86" s="77"/>
      <c r="BV86" s="77"/>
      <c r="BW86" s="77"/>
      <c r="BX86" s="77"/>
    </row>
    <row r="87">
      <c r="A87" s="78" t="str">
        <f t="shared" si="1"/>
        <v>#REF!</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8" t="str">
        <f t="shared" si="23"/>
        <v>#REF!</v>
      </c>
      <c r="AZ87" s="77"/>
      <c r="BA87" s="78" t="str">
        <f t="shared" si="24"/>
        <v>#REF!</v>
      </c>
      <c r="BB87" s="77"/>
      <c r="BD87" s="87"/>
      <c r="BE87" s="77"/>
      <c r="BF87" s="77"/>
      <c r="BG87" s="77"/>
      <c r="BH87" s="77"/>
      <c r="BI87" s="77"/>
      <c r="BJ87" s="77"/>
      <c r="BK87" s="77"/>
      <c r="BL87" s="77"/>
      <c r="BM87" s="77"/>
      <c r="BN87" s="77"/>
      <c r="BO87" s="77"/>
      <c r="BP87" s="77"/>
      <c r="BQ87" s="77"/>
      <c r="BR87" s="77"/>
      <c r="BS87" s="77"/>
      <c r="BT87" s="77"/>
      <c r="BU87" s="77"/>
      <c r="BV87" s="77"/>
      <c r="BW87" s="77"/>
      <c r="BX87" s="77"/>
    </row>
    <row r="88">
      <c r="A88" s="78" t="str">
        <f t="shared" si="1"/>
        <v>#REF!</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8" t="str">
        <f t="shared" si="23"/>
        <v>#REF!</v>
      </c>
      <c r="AZ88" s="77"/>
      <c r="BA88" s="78" t="str">
        <f t="shared" si="24"/>
        <v>#REF!</v>
      </c>
      <c r="BB88" s="77"/>
      <c r="BD88" s="85"/>
      <c r="BE88" s="77"/>
      <c r="BF88" s="77"/>
      <c r="BG88" s="77"/>
      <c r="BH88" s="77"/>
      <c r="BI88" s="77"/>
      <c r="BJ88" s="77"/>
      <c r="BK88" s="77"/>
      <c r="BL88" s="77"/>
      <c r="BM88" s="77"/>
      <c r="BN88" s="77"/>
      <c r="BO88" s="77"/>
      <c r="BP88" s="77"/>
      <c r="BQ88" s="77"/>
      <c r="BR88" s="77"/>
      <c r="BS88" s="77"/>
      <c r="BT88" s="77"/>
      <c r="BU88" s="77"/>
      <c r="BV88" s="77"/>
      <c r="BW88" s="77"/>
      <c r="BX88" s="77"/>
    </row>
    <row r="89">
      <c r="A89" s="78" t="str">
        <f t="shared" si="1"/>
        <v>#REF!</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8" t="str">
        <f t="shared" ref="AY89:AY93" si="72">CONCATENATE('Term Reference Guide (in-progress)'!B3," [",'Term Reference Guide (in-progress)'!C3,"]")</f>
        <v>#REF!</v>
      </c>
      <c r="AZ89" s="77"/>
      <c r="BA89" s="78" t="str">
        <f t="shared" si="24"/>
        <v>#REF!</v>
      </c>
      <c r="BB89" s="77"/>
      <c r="BD89" s="85"/>
      <c r="BE89" s="77"/>
      <c r="BF89" s="77"/>
      <c r="BG89" s="77"/>
      <c r="BH89" s="77"/>
      <c r="BI89" s="77"/>
      <c r="BJ89" s="77"/>
      <c r="BK89" s="77"/>
      <c r="BL89" s="77"/>
      <c r="BM89" s="77"/>
      <c r="BN89" s="77"/>
      <c r="BO89" s="77"/>
      <c r="BP89" s="77"/>
      <c r="BQ89" s="77"/>
      <c r="BR89" s="77"/>
      <c r="BS89" s="77"/>
      <c r="BT89" s="77"/>
      <c r="BU89" s="77"/>
      <c r="BV89" s="77"/>
      <c r="BW89" s="77"/>
      <c r="BX89" s="77"/>
    </row>
    <row r="90">
      <c r="A90" s="78" t="str">
        <f t="shared" si="1"/>
        <v>#REF!</v>
      </c>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8" t="str">
        <f t="shared" si="72"/>
        <v>#REF!</v>
      </c>
      <c r="AZ90" s="77"/>
      <c r="BA90" s="78" t="str">
        <f t="shared" si="24"/>
        <v>#REF!</v>
      </c>
      <c r="BB90" s="78"/>
      <c r="BD90" s="77"/>
      <c r="BE90" s="77"/>
      <c r="BF90" s="77"/>
      <c r="BG90" s="77"/>
      <c r="BH90" s="77"/>
      <c r="BI90" s="77"/>
      <c r="BJ90" s="77"/>
      <c r="BK90" s="77"/>
      <c r="BL90" s="77"/>
      <c r="BM90" s="77"/>
      <c r="BN90" s="77"/>
      <c r="BO90" s="77"/>
      <c r="BP90" s="77"/>
      <c r="BQ90" s="77"/>
      <c r="BR90" s="77"/>
      <c r="BS90" s="77"/>
      <c r="BT90" s="77"/>
      <c r="BU90" s="77"/>
      <c r="BV90" s="77"/>
      <c r="BW90" s="77"/>
      <c r="BX90" s="77"/>
    </row>
    <row r="91">
      <c r="A91" s="78" t="str">
        <f t="shared" si="1"/>
        <v>#REF!</v>
      </c>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8" t="str">
        <f t="shared" si="72"/>
        <v>#REF!</v>
      </c>
      <c r="AZ91" s="77"/>
      <c r="BA91" s="78" t="str">
        <f t="shared" si="24"/>
        <v>#REF!</v>
      </c>
      <c r="BB91" s="77"/>
      <c r="BD91" s="77"/>
      <c r="BE91" s="77"/>
      <c r="BF91" s="77"/>
      <c r="BG91" s="77"/>
      <c r="BH91" s="77"/>
      <c r="BI91" s="77"/>
      <c r="BJ91" s="77"/>
      <c r="BK91" s="77"/>
      <c r="BL91" s="77"/>
      <c r="BM91" s="77"/>
      <c r="BN91" s="77"/>
      <c r="BO91" s="77"/>
      <c r="BP91" s="77"/>
      <c r="BQ91" s="77"/>
      <c r="BR91" s="77"/>
      <c r="BS91" s="77"/>
      <c r="BT91" s="77"/>
      <c r="BU91" s="77"/>
      <c r="BV91" s="77"/>
      <c r="BW91" s="77"/>
      <c r="BX91" s="77"/>
    </row>
    <row r="92">
      <c r="A92" s="78" t="str">
        <f t="shared" si="1"/>
        <v>#REF!</v>
      </c>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8" t="str">
        <f t="shared" si="72"/>
        <v>#REF!</v>
      </c>
      <c r="AZ92" s="77"/>
      <c r="BA92" s="78" t="str">
        <f t="shared" si="24"/>
        <v>#REF!</v>
      </c>
      <c r="BB92" s="77"/>
      <c r="BD92" s="78"/>
      <c r="BE92" s="77"/>
      <c r="BF92" s="77"/>
      <c r="BG92" s="77"/>
      <c r="BH92" s="77"/>
      <c r="BI92" s="77"/>
      <c r="BJ92" s="77"/>
      <c r="BK92" s="77"/>
      <c r="BL92" s="77"/>
      <c r="BM92" s="77"/>
      <c r="BN92" s="77"/>
      <c r="BO92" s="77"/>
      <c r="BP92" s="77"/>
      <c r="BQ92" s="77"/>
      <c r="BR92" s="77"/>
      <c r="BS92" s="77"/>
      <c r="BT92" s="77"/>
      <c r="BU92" s="77"/>
      <c r="BV92" s="77"/>
      <c r="BW92" s="77"/>
      <c r="BX92" s="77"/>
    </row>
    <row r="93">
      <c r="A93" s="78" t="str">
        <f t="shared" si="1"/>
        <v>#REF!</v>
      </c>
      <c r="B93" s="78"/>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8" t="str">
        <f t="shared" si="72"/>
        <v>#REF!</v>
      </c>
      <c r="AZ93" s="77"/>
      <c r="BA93" s="78" t="str">
        <f t="shared" ref="BA93:BA97" si="73">CONCATENATE('Term Reference Guide (in-progress)'!B3," [",'Term Reference Guide (in-progress)'!C3,"]")</f>
        <v>#REF!</v>
      </c>
      <c r="BB93" s="77"/>
      <c r="BD93" s="77"/>
      <c r="BE93" s="77"/>
      <c r="BF93" s="77"/>
      <c r="BG93" s="77"/>
      <c r="BH93" s="77"/>
      <c r="BI93" s="77"/>
      <c r="BJ93" s="77"/>
      <c r="BK93" s="77"/>
      <c r="BL93" s="77"/>
      <c r="BM93" s="77"/>
      <c r="BN93" s="77"/>
      <c r="BO93" s="77"/>
      <c r="BP93" s="77"/>
      <c r="BQ93" s="77"/>
      <c r="BR93" s="77"/>
      <c r="BS93" s="77"/>
      <c r="BT93" s="77"/>
      <c r="BU93" s="77"/>
      <c r="BV93" s="77"/>
      <c r="BW93" s="77"/>
      <c r="BX93" s="77"/>
    </row>
    <row r="94">
      <c r="A94" s="78" t="str">
        <f t="shared" si="1"/>
        <v>#REF!</v>
      </c>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Z94" s="77"/>
      <c r="BA94" s="78" t="str">
        <f t="shared" si="73"/>
        <v>#REF!</v>
      </c>
      <c r="BB94" s="77"/>
      <c r="BD94" s="77"/>
      <c r="BE94" s="77"/>
      <c r="BF94" s="77"/>
      <c r="BG94" s="77"/>
      <c r="BH94" s="77"/>
      <c r="BI94" s="77"/>
      <c r="BJ94" s="77"/>
      <c r="BK94" s="77"/>
      <c r="BL94" s="77"/>
      <c r="BM94" s="77"/>
      <c r="BN94" s="77"/>
      <c r="BO94" s="77"/>
      <c r="BP94" s="77"/>
      <c r="BQ94" s="77"/>
      <c r="BR94" s="77"/>
      <c r="BS94" s="77"/>
      <c r="BT94" s="77"/>
      <c r="BU94" s="77"/>
      <c r="BV94" s="77"/>
      <c r="BW94" s="77"/>
      <c r="BX94" s="77"/>
    </row>
    <row r="95">
      <c r="A95" s="78" t="str">
        <f t="shared" si="1"/>
        <v>#REF!</v>
      </c>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8" t="str">
        <f t="shared" si="73"/>
        <v>#REF!</v>
      </c>
      <c r="BB95" s="77"/>
      <c r="BC95" s="77"/>
      <c r="BD95" s="77"/>
      <c r="BE95" s="77"/>
      <c r="BF95" s="77"/>
      <c r="BG95" s="77"/>
      <c r="BH95" s="77"/>
      <c r="BI95" s="77"/>
      <c r="BJ95" s="77"/>
      <c r="BK95" s="77"/>
      <c r="BL95" s="77"/>
      <c r="BM95" s="77"/>
      <c r="BN95" s="77"/>
      <c r="BO95" s="77"/>
      <c r="BP95" s="77"/>
      <c r="BQ95" s="77"/>
      <c r="BR95" s="77"/>
      <c r="BS95" s="77"/>
      <c r="BT95" s="77"/>
      <c r="BU95" s="77"/>
      <c r="BV95" s="77"/>
      <c r="BW95" s="77"/>
      <c r="BX95" s="77"/>
    </row>
    <row r="96">
      <c r="A96" s="78" t="str">
        <f t="shared" si="1"/>
        <v>#REF!</v>
      </c>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8" t="str">
        <f t="shared" si="73"/>
        <v>#REF!</v>
      </c>
      <c r="BB96" s="77"/>
      <c r="BC96" s="77"/>
      <c r="BD96" s="77"/>
      <c r="BE96" s="77"/>
      <c r="BF96" s="77"/>
      <c r="BG96" s="77"/>
      <c r="BH96" s="77"/>
      <c r="BI96" s="77"/>
      <c r="BJ96" s="77"/>
      <c r="BK96" s="77"/>
      <c r="BL96" s="77"/>
      <c r="BM96" s="77"/>
      <c r="BN96" s="77"/>
      <c r="BO96" s="77"/>
      <c r="BP96" s="77"/>
      <c r="BQ96" s="77"/>
      <c r="BR96" s="77"/>
      <c r="BS96" s="77"/>
      <c r="BT96" s="77"/>
      <c r="BU96" s="77"/>
      <c r="BV96" s="77"/>
      <c r="BW96" s="77"/>
      <c r="BX96" s="77"/>
    </row>
    <row r="97">
      <c r="A97" s="78" t="str">
        <f t="shared" si="1"/>
        <v>#REF!</v>
      </c>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8" t="str">
        <f t="shared" si="73"/>
        <v>#REF!</v>
      </c>
      <c r="BB97" s="77"/>
      <c r="BC97" s="77"/>
      <c r="BD97" s="77"/>
      <c r="BE97" s="77"/>
      <c r="BF97" s="77"/>
      <c r="BG97" s="77"/>
      <c r="BH97" s="77"/>
      <c r="BI97" s="77"/>
      <c r="BJ97" s="77"/>
      <c r="BK97" s="77"/>
      <c r="BL97" s="77"/>
      <c r="BM97" s="77"/>
      <c r="BN97" s="77"/>
      <c r="BO97" s="77"/>
      <c r="BP97" s="77"/>
      <c r="BQ97" s="77"/>
      <c r="BR97" s="77"/>
      <c r="BS97" s="77"/>
      <c r="BT97" s="77"/>
      <c r="BU97" s="77"/>
      <c r="BV97" s="77"/>
      <c r="BW97" s="77"/>
      <c r="BX97" s="77"/>
    </row>
    <row r="98">
      <c r="A98" s="78" t="str">
        <f t="shared" si="1"/>
        <v>#REF!</v>
      </c>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BD98" s="77"/>
      <c r="BE98" s="77"/>
      <c r="BF98" s="77"/>
      <c r="BG98" s="77"/>
      <c r="BH98" s="77"/>
      <c r="BI98" s="77"/>
      <c r="BJ98" s="77"/>
      <c r="BK98" s="77"/>
      <c r="BL98" s="77"/>
      <c r="BM98" s="77"/>
      <c r="BN98" s="77"/>
      <c r="BO98" s="77"/>
      <c r="BP98" s="77"/>
      <c r="BQ98" s="77"/>
      <c r="BR98" s="77"/>
      <c r="BS98" s="77"/>
      <c r="BT98" s="77"/>
      <c r="BU98" s="77"/>
      <c r="BV98" s="77"/>
      <c r="BW98" s="77"/>
      <c r="BX98" s="77"/>
    </row>
    <row r="99">
      <c r="A99" s="78" t="str">
        <f t="shared" si="1"/>
        <v>#REF!</v>
      </c>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BD99" s="77"/>
      <c r="BE99" s="77"/>
      <c r="BF99" s="77"/>
      <c r="BG99" s="77"/>
      <c r="BH99" s="77"/>
      <c r="BI99" s="77"/>
      <c r="BJ99" s="77"/>
      <c r="BK99" s="77"/>
      <c r="BL99" s="77"/>
      <c r="BM99" s="77"/>
      <c r="BN99" s="77"/>
      <c r="BO99" s="77"/>
      <c r="BP99" s="77"/>
      <c r="BQ99" s="77"/>
      <c r="BR99" s="77"/>
      <c r="BS99" s="77"/>
      <c r="BT99" s="77"/>
      <c r="BU99" s="77"/>
      <c r="BV99" s="77"/>
      <c r="BW99" s="77"/>
      <c r="BX99" s="77"/>
    </row>
    <row r="100">
      <c r="A100" s="78" t="str">
        <f t="shared" si="1"/>
        <v>#REF!</v>
      </c>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row>
    <row r="101">
      <c r="A101" s="78" t="str">
        <f t="shared" si="1"/>
        <v>#REF!</v>
      </c>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row>
    <row r="102">
      <c r="A102" s="78" t="str">
        <f t="shared" si="1"/>
        <v>#REF!</v>
      </c>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row>
    <row r="103">
      <c r="A103" s="78" t="str">
        <f t="shared" si="1"/>
        <v>#REF!</v>
      </c>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row>
    <row r="104">
      <c r="A104" s="78" t="str">
        <f t="shared" si="1"/>
        <v>#REF!</v>
      </c>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row>
    <row r="105">
      <c r="A105" s="78" t="str">
        <f t="shared" si="1"/>
        <v>#REF!</v>
      </c>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row>
    <row r="106">
      <c r="A106" s="78" t="str">
        <f t="shared" si="1"/>
        <v>#REF!</v>
      </c>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row>
    <row r="107">
      <c r="A107" s="78" t="str">
        <f t="shared" si="1"/>
        <v>#REF!</v>
      </c>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row>
    <row r="108">
      <c r="A108" s="78" t="str">
        <f t="shared" si="1"/>
        <v>#REF!</v>
      </c>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row>
    <row r="109">
      <c r="A109" s="78" t="str">
        <f t="shared" si="1"/>
        <v>#REF!</v>
      </c>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row>
    <row r="110">
      <c r="A110" s="78" t="str">
        <f t="shared" si="1"/>
        <v>#REF!</v>
      </c>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row>
    <row r="111">
      <c r="A111" s="78" t="str">
        <f t="shared" si="1"/>
        <v>#REF!</v>
      </c>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row>
    <row r="112">
      <c r="A112" s="78" t="str">
        <f t="shared" si="1"/>
        <v>#REF!</v>
      </c>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row>
    <row r="113">
      <c r="A113" s="78" t="str">
        <f t="shared" si="1"/>
        <v>#REF!</v>
      </c>
      <c r="B113" s="78"/>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row>
    <row r="114">
      <c r="A114" s="78" t="str">
        <f t="shared" si="1"/>
        <v>#REF!</v>
      </c>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row>
    <row r="115">
      <c r="A115" s="78" t="str">
        <f t="shared" si="1"/>
        <v>#REF!</v>
      </c>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row>
    <row r="116">
      <c r="A116" s="78" t="str">
        <f t="shared" si="1"/>
        <v>#REF!</v>
      </c>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row>
    <row r="117">
      <c r="A117" s="78" t="str">
        <f t="shared" si="1"/>
        <v>#REF!</v>
      </c>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row>
    <row r="118">
      <c r="A118" s="78" t="str">
        <f t="shared" si="1"/>
        <v>#REF!</v>
      </c>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row>
    <row r="119">
      <c r="A119" s="78" t="str">
        <f t="shared" si="1"/>
        <v>#REF!</v>
      </c>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row>
    <row r="120">
      <c r="A120" s="78" t="str">
        <f t="shared" si="1"/>
        <v>#REF!</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row>
    <row r="121">
      <c r="A121" s="78" t="str">
        <f t="shared" si="1"/>
        <v>#REF!</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row>
    <row r="122">
      <c r="A122" s="78" t="str">
        <f t="shared" si="1"/>
        <v>#REF!</v>
      </c>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row>
    <row r="123">
      <c r="A123" s="78" t="str">
        <f t="shared" si="1"/>
        <v>#REF!</v>
      </c>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row>
    <row r="124">
      <c r="A124" s="78" t="str">
        <f t="shared" si="1"/>
        <v>#REF!</v>
      </c>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row>
    <row r="125">
      <c r="A125" s="78" t="str">
        <f t="shared" si="1"/>
        <v>#REF!</v>
      </c>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c r="BT125" s="77"/>
      <c r="BU125" s="77"/>
      <c r="BV125" s="77"/>
      <c r="BW125" s="77"/>
      <c r="BX125" s="77"/>
    </row>
    <row r="126">
      <c r="A126" s="78" t="str">
        <f t="shared" si="1"/>
        <v>#REF!</v>
      </c>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row>
    <row r="127">
      <c r="A127" s="78" t="str">
        <f t="shared" si="1"/>
        <v>#REF!</v>
      </c>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row>
    <row r="128">
      <c r="A128" s="78" t="str">
        <f t="shared" si="1"/>
        <v>#REF!</v>
      </c>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row>
    <row r="129">
      <c r="A129" s="78" t="str">
        <f t="shared" si="1"/>
        <v>#REF!</v>
      </c>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row>
    <row r="130">
      <c r="A130" s="78" t="str">
        <f t="shared" si="1"/>
        <v>#REF!</v>
      </c>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row>
    <row r="131">
      <c r="A131" s="78" t="str">
        <f t="shared" si="1"/>
        <v>#REF!</v>
      </c>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row>
    <row r="132">
      <c r="A132" s="78" t="str">
        <f t="shared" si="1"/>
        <v>#REF!</v>
      </c>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row>
    <row r="133">
      <c r="A133" s="78" t="str">
        <f t="shared" si="1"/>
        <v>#REF!</v>
      </c>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row>
    <row r="134">
      <c r="A134" s="78" t="str">
        <f t="shared" si="1"/>
        <v>#REF!</v>
      </c>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row>
    <row r="135">
      <c r="A135" s="78" t="str">
        <f t="shared" si="1"/>
        <v>#REF!</v>
      </c>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row>
    <row r="136">
      <c r="A136" s="78" t="str">
        <f t="shared" si="1"/>
        <v>#REF!</v>
      </c>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row>
    <row r="137">
      <c r="A137" s="78" t="str">
        <f t="shared" si="1"/>
        <v>#REF!</v>
      </c>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row>
    <row r="138">
      <c r="A138" s="78" t="str">
        <f t="shared" si="1"/>
        <v>#REF!</v>
      </c>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row>
    <row r="139">
      <c r="A139" s="78" t="str">
        <f t="shared" si="1"/>
        <v>#REF!</v>
      </c>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row>
    <row r="140">
      <c r="A140" s="78" t="str">
        <f t="shared" si="1"/>
        <v>#REF!</v>
      </c>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row>
    <row r="141">
      <c r="A141" s="78" t="str">
        <f t="shared" si="1"/>
        <v>#REF!</v>
      </c>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row>
    <row r="142">
      <c r="A142" s="78" t="str">
        <f t="shared" si="1"/>
        <v>#REF!</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row>
    <row r="143">
      <c r="A143" s="78" t="str">
        <f t="shared" si="1"/>
        <v>#REF!</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row>
    <row r="144">
      <c r="A144" s="78" t="str">
        <f t="shared" si="1"/>
        <v>#REF!</v>
      </c>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row>
    <row r="145">
      <c r="A145" s="78" t="str">
        <f t="shared" si="1"/>
        <v>#REF!</v>
      </c>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c r="BT145" s="77"/>
      <c r="BU145" s="77"/>
      <c r="BV145" s="77"/>
      <c r="BW145" s="77"/>
      <c r="BX145" s="77"/>
    </row>
    <row r="146">
      <c r="A146" s="78" t="str">
        <f t="shared" si="1"/>
        <v>#REF!</v>
      </c>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row>
    <row r="147">
      <c r="A147" s="78" t="str">
        <f t="shared" si="1"/>
        <v>#REF!</v>
      </c>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row>
    <row r="148">
      <c r="A148" s="78" t="str">
        <f t="shared" si="1"/>
        <v>#REF!</v>
      </c>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row>
    <row r="149">
      <c r="A149" s="78" t="str">
        <f t="shared" si="1"/>
        <v>#REF!</v>
      </c>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row>
    <row r="150">
      <c r="A150" s="78" t="str">
        <f t="shared" si="1"/>
        <v>#REF!</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row>
    <row r="151">
      <c r="A151" s="78" t="str">
        <f t="shared" si="1"/>
        <v>#REF!</v>
      </c>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row>
    <row r="152">
      <c r="A152" s="78" t="str">
        <f t="shared" si="1"/>
        <v>#REF!</v>
      </c>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row>
    <row r="153">
      <c r="A153" s="78" t="str">
        <f t="shared" si="1"/>
        <v>#REF!</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row>
    <row r="154">
      <c r="A154" s="78" t="str">
        <f t="shared" si="1"/>
        <v>#REF!</v>
      </c>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row>
    <row r="155">
      <c r="A155" s="78" t="str">
        <f t="shared" si="1"/>
        <v>#REF!</v>
      </c>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c r="BT155" s="77"/>
      <c r="BU155" s="77"/>
      <c r="BV155" s="77"/>
      <c r="BW155" s="77"/>
      <c r="BX155" s="77"/>
    </row>
    <row r="156">
      <c r="A156" s="78" t="str">
        <f t="shared" si="1"/>
        <v>#REF!</v>
      </c>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c r="BW156" s="77"/>
      <c r="BX156" s="77"/>
    </row>
    <row r="157">
      <c r="A157" s="78" t="str">
        <f t="shared" si="1"/>
        <v>#REF!</v>
      </c>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row>
    <row r="158">
      <c r="A158" s="78" t="str">
        <f t="shared" si="1"/>
        <v>#REF!</v>
      </c>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row>
    <row r="159">
      <c r="A159" s="78" t="str">
        <f t="shared" si="1"/>
        <v>#REF!</v>
      </c>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row>
    <row r="160">
      <c r="A160" s="78" t="str">
        <f t="shared" si="1"/>
        <v>#REF!</v>
      </c>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row>
    <row r="161">
      <c r="A161" s="78" t="str">
        <f t="shared" si="1"/>
        <v>#REF!</v>
      </c>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row>
    <row r="162">
      <c r="A162" s="78" t="str">
        <f t="shared" si="1"/>
        <v>#REF!</v>
      </c>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row>
    <row r="163">
      <c r="A163" s="78" t="str">
        <f t="shared" si="1"/>
        <v>#REF!</v>
      </c>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row>
    <row r="164">
      <c r="A164" s="78" t="str">
        <f t="shared" si="1"/>
        <v>#REF!</v>
      </c>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row>
    <row r="165">
      <c r="A165" s="78" t="str">
        <f t="shared" si="1"/>
        <v>#REF!</v>
      </c>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row>
    <row r="166">
      <c r="A166" s="78" t="str">
        <f t="shared" si="1"/>
        <v>#REF!</v>
      </c>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c r="BW166" s="77"/>
      <c r="BX166" s="77"/>
    </row>
    <row r="167">
      <c r="A167" s="78" t="str">
        <f t="shared" si="1"/>
        <v>#REF!</v>
      </c>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row>
    <row r="168">
      <c r="A168" s="78" t="str">
        <f t="shared" si="1"/>
        <v>#REF!</v>
      </c>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row>
    <row r="169">
      <c r="A169" s="78" t="str">
        <f t="shared" si="1"/>
        <v>#REF!</v>
      </c>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row>
    <row r="170">
      <c r="A170" s="78" t="str">
        <f t="shared" si="1"/>
        <v>#REF!</v>
      </c>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row>
    <row r="171">
      <c r="A171" s="78" t="str">
        <f t="shared" si="1"/>
        <v>#REF!</v>
      </c>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row>
    <row r="172">
      <c r="A172" s="78" t="str">
        <f t="shared" si="1"/>
        <v>#REF!</v>
      </c>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row>
    <row r="173">
      <c r="A173" s="78" t="str">
        <f t="shared" si="1"/>
        <v>#REF!</v>
      </c>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row>
    <row r="174">
      <c r="A174" s="78" t="str">
        <f t="shared" si="1"/>
        <v>#REF!</v>
      </c>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row>
    <row r="175">
      <c r="A175" s="78" t="str">
        <f t="shared" si="1"/>
        <v>#REF!</v>
      </c>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row>
    <row r="176">
      <c r="A176" s="78" t="str">
        <f t="shared" si="1"/>
        <v>#REF!</v>
      </c>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row>
    <row r="177">
      <c r="A177" s="78" t="str">
        <f t="shared" si="1"/>
        <v>#REF!</v>
      </c>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c r="BW177" s="77"/>
      <c r="BX177" s="77"/>
    </row>
    <row r="178">
      <c r="A178" s="78" t="str">
        <f t="shared" si="1"/>
        <v>#REF!</v>
      </c>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row>
    <row r="179">
      <c r="A179" s="78" t="str">
        <f t="shared" si="1"/>
        <v>#REF!</v>
      </c>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row>
    <row r="180">
      <c r="A180" s="78" t="str">
        <f t="shared" si="1"/>
        <v>#REF!</v>
      </c>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row>
    <row r="181">
      <c r="A181" s="78" t="str">
        <f t="shared" si="1"/>
        <v>#REF!</v>
      </c>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row>
    <row r="182">
      <c r="A182" s="78" t="str">
        <f t="shared" si="1"/>
        <v>#REF!</v>
      </c>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row>
    <row r="183">
      <c r="A183" s="78" t="str">
        <f t="shared" si="1"/>
        <v>#REF!</v>
      </c>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row>
    <row r="184">
      <c r="A184" s="78" t="str">
        <f t="shared" si="1"/>
        <v>#REF!</v>
      </c>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row>
    <row r="185">
      <c r="A185" s="78" t="str">
        <f t="shared" si="1"/>
        <v>#REF!</v>
      </c>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row>
    <row r="186">
      <c r="A186" s="78" t="str">
        <f t="shared" si="1"/>
        <v>#REF!</v>
      </c>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row>
    <row r="187">
      <c r="A187" s="78" t="str">
        <f t="shared" si="1"/>
        <v>#REF!</v>
      </c>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c r="BW187" s="77"/>
      <c r="BX187" s="77"/>
    </row>
    <row r="188">
      <c r="A188" s="78" t="str">
        <f t="shared" si="1"/>
        <v>#REF!</v>
      </c>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row>
    <row r="189">
      <c r="A189" s="78" t="str">
        <f t="shared" si="1"/>
        <v>#REF!</v>
      </c>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row>
    <row r="190">
      <c r="A190" s="78" t="str">
        <f t="shared" si="1"/>
        <v>#REF!</v>
      </c>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row>
    <row r="191">
      <c r="A191" s="78" t="str">
        <f t="shared" si="1"/>
        <v>#REF!</v>
      </c>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row>
    <row r="192">
      <c r="A192" s="78" t="str">
        <f t="shared" si="1"/>
        <v>#REF!</v>
      </c>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row>
    <row r="193">
      <c r="A193" s="78" t="str">
        <f t="shared" si="1"/>
        <v>#REF!</v>
      </c>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row>
    <row r="194">
      <c r="A194" s="78" t="str">
        <f t="shared" si="1"/>
        <v>#REF!</v>
      </c>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row>
    <row r="195">
      <c r="A195" s="78" t="str">
        <f t="shared" si="1"/>
        <v>#REF!</v>
      </c>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row>
    <row r="196">
      <c r="A196" s="78" t="str">
        <f t="shared" si="1"/>
        <v>#REF!</v>
      </c>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row>
    <row r="197">
      <c r="A197" s="78" t="str">
        <f t="shared" si="1"/>
        <v>#REF!</v>
      </c>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row>
    <row r="198">
      <c r="A198" s="78" t="str">
        <f t="shared" si="1"/>
        <v>#REF!</v>
      </c>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c r="BW198" s="77"/>
      <c r="BX198" s="77"/>
    </row>
    <row r="199">
      <c r="A199" s="78" t="str">
        <f t="shared" si="1"/>
        <v>#REF!</v>
      </c>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c r="BW199" s="77"/>
      <c r="BX199" s="77"/>
    </row>
    <row r="200">
      <c r="A200" s="78" t="str">
        <f t="shared" si="1"/>
        <v>#REF!</v>
      </c>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row>
    <row r="201">
      <c r="A201" s="78" t="str">
        <f t="shared" si="1"/>
        <v>#REF!</v>
      </c>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row>
    <row r="202">
      <c r="A202" s="78" t="str">
        <f t="shared" si="1"/>
        <v>#REF!</v>
      </c>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row>
    <row r="203">
      <c r="A203" s="78" t="str">
        <f t="shared" si="1"/>
        <v>#REF!</v>
      </c>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row>
    <row r="204">
      <c r="A204" s="78" t="str">
        <f t="shared" si="1"/>
        <v>#REF!</v>
      </c>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row>
    <row r="205">
      <c r="A205" s="78" t="str">
        <f t="shared" si="1"/>
        <v>#REF!</v>
      </c>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row>
    <row r="206">
      <c r="A206" s="78" t="str">
        <f t="shared" si="1"/>
        <v>#REF!</v>
      </c>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row>
    <row r="207">
      <c r="A207" s="78" t="str">
        <f t="shared" si="1"/>
        <v>#REF!</v>
      </c>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row>
    <row r="208">
      <c r="A208" s="78" t="str">
        <f t="shared" si="1"/>
        <v>#REF!</v>
      </c>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row>
    <row r="209">
      <c r="A209" s="78" t="str">
        <f t="shared" si="1"/>
        <v>#REF!</v>
      </c>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row>
    <row r="210">
      <c r="A210" s="78" t="str">
        <f t="shared" si="1"/>
        <v>#REF!</v>
      </c>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row>
    <row r="211">
      <c r="A211" s="78" t="str">
        <f t="shared" si="1"/>
        <v>#REF!</v>
      </c>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row>
    <row r="212">
      <c r="A212" s="78" t="str">
        <f t="shared" si="1"/>
        <v>#REF!</v>
      </c>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row>
    <row r="213">
      <c r="A213" s="78" t="str">
        <f t="shared" si="1"/>
        <v>#REF!</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row>
    <row r="214">
      <c r="A214" s="78" t="str">
        <f t="shared" si="1"/>
        <v>#REF!</v>
      </c>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row>
    <row r="215">
      <c r="A215" s="78" t="str">
        <f t="shared" si="1"/>
        <v>#REF!</v>
      </c>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row>
    <row r="216">
      <c r="A216" s="78" t="str">
        <f t="shared" si="1"/>
        <v>#REF!</v>
      </c>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row>
    <row r="217">
      <c r="A217" s="78" t="str">
        <f t="shared" si="1"/>
        <v>#REF!</v>
      </c>
      <c r="B217" s="88"/>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row>
    <row r="218">
      <c r="A218" s="78" t="str">
        <f t="shared" si="1"/>
        <v>#REF!</v>
      </c>
      <c r="B218" s="78"/>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row>
    <row r="219">
      <c r="A219" s="78" t="str">
        <f t="shared" si="1"/>
        <v>#REF!</v>
      </c>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row>
    <row r="220">
      <c r="A220" s="78" t="str">
        <f t="shared" si="1"/>
        <v>#REF!</v>
      </c>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row>
    <row r="221">
      <c r="A221" s="78" t="str">
        <f t="shared" si="1"/>
        <v>#REF!</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row>
    <row r="222">
      <c r="A222" s="78" t="str">
        <f t="shared" si="1"/>
        <v>#REF!</v>
      </c>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row>
    <row r="223">
      <c r="A223" s="78" t="str">
        <f t="shared" si="1"/>
        <v>#REF!</v>
      </c>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row>
    <row r="224">
      <c r="A224" s="78" t="str">
        <f t="shared" si="1"/>
        <v>#REF!</v>
      </c>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row>
    <row r="225">
      <c r="A225" s="78" t="str">
        <f t="shared" si="1"/>
        <v>#REF!</v>
      </c>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row>
    <row r="226">
      <c r="A226" s="78" t="str">
        <f t="shared" si="1"/>
        <v>#REF!</v>
      </c>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row>
    <row r="227">
      <c r="A227" s="78" t="str">
        <f t="shared" si="1"/>
        <v>#REF!</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row>
    <row r="228">
      <c r="A228" s="78" t="str">
        <f t="shared" si="1"/>
        <v>#REF!</v>
      </c>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row>
    <row r="229">
      <c r="A229" s="78" t="str">
        <f t="shared" si="1"/>
        <v>#REF!</v>
      </c>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row>
    <row r="230">
      <c r="A230" s="78" t="str">
        <f t="shared" si="1"/>
        <v>#REF!</v>
      </c>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row>
    <row r="231">
      <c r="A231" s="78" t="str">
        <f t="shared" si="1"/>
        <v>#REF!</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row>
    <row r="232">
      <c r="A232" s="78" t="str">
        <f t="shared" si="1"/>
        <v>#REF!</v>
      </c>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row>
    <row r="233">
      <c r="A233" s="78" t="str">
        <f t="shared" si="1"/>
        <v>#REF!</v>
      </c>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row>
    <row r="234">
      <c r="A234" s="78" t="str">
        <f t="shared" si="1"/>
        <v>#REF!</v>
      </c>
      <c r="B234" s="78"/>
      <c r="C234" s="78"/>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row>
    <row r="235">
      <c r="A235" s="78" t="str">
        <f t="shared" si="1"/>
        <v>#REF!</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row>
    <row r="236">
      <c r="A236" s="78" t="str">
        <f t="shared" si="1"/>
        <v>#REF!</v>
      </c>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row>
    <row r="237">
      <c r="A237" s="78" t="str">
        <f t="shared" si="1"/>
        <v>#REF!</v>
      </c>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row>
    <row r="238">
      <c r="A238" s="78" t="str">
        <f t="shared" si="1"/>
        <v>#REF!</v>
      </c>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row>
    <row r="239">
      <c r="A239" s="78" t="str">
        <f t="shared" si="1"/>
        <v>#REF!</v>
      </c>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c r="BW239" s="77"/>
      <c r="BX239" s="77"/>
    </row>
    <row r="240">
      <c r="A240" s="78" t="str">
        <f t="shared" si="1"/>
        <v>#REF!</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c r="BW240" s="77"/>
      <c r="BX240" s="77"/>
    </row>
    <row r="241">
      <c r="A241" s="78" t="str">
        <f t="shared" si="1"/>
        <v>#REF!</v>
      </c>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c r="BW241" s="77"/>
      <c r="BX241" s="77"/>
    </row>
    <row r="242">
      <c r="A242" s="78" t="str">
        <f t="shared" si="1"/>
        <v>#REF!</v>
      </c>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c r="BW242" s="77"/>
      <c r="BX242" s="77"/>
    </row>
    <row r="243">
      <c r="A243" s="78" t="str">
        <f t="shared" si="1"/>
        <v>#REF!</v>
      </c>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c r="BW243" s="77"/>
      <c r="BX243" s="77"/>
    </row>
    <row r="244">
      <c r="A244" s="78" t="str">
        <f t="shared" si="1"/>
        <v>#REF!</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c r="BW244" s="77"/>
      <c r="BX244" s="77"/>
    </row>
    <row r="245">
      <c r="A245" s="78" t="str">
        <f t="shared" si="1"/>
        <v>#REF!</v>
      </c>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c r="BW245" s="77"/>
      <c r="BX245" s="77"/>
    </row>
    <row r="246">
      <c r="A246" s="78" t="str">
        <f t="shared" si="1"/>
        <v>#REF!</v>
      </c>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row>
    <row r="247">
      <c r="A247" s="78" t="str">
        <f t="shared" si="1"/>
        <v>#REF!</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row>
    <row r="248">
      <c r="A248" s="78" t="str">
        <f t="shared" si="1"/>
        <v>#REF!</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c r="BW248" s="77"/>
      <c r="BX248" s="77"/>
    </row>
    <row r="249">
      <c r="A249" s="78" t="str">
        <f t="shared" si="1"/>
        <v>#REF!</v>
      </c>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c r="BW249" s="77"/>
      <c r="BX249" s="77"/>
    </row>
    <row r="250">
      <c r="A250" s="78" t="str">
        <f t="shared" si="1"/>
        <v>#REF!</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c r="BW250" s="77"/>
      <c r="BX250" s="77"/>
    </row>
    <row r="251">
      <c r="A251" s="78" t="str">
        <f t="shared" si="1"/>
        <v>#REF!</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c r="BW251" s="77"/>
      <c r="BX251" s="77"/>
    </row>
    <row r="252">
      <c r="A252" s="78" t="str">
        <f t="shared" si="1"/>
        <v>#REF!</v>
      </c>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c r="BW252" s="77"/>
      <c r="BX252" s="77"/>
    </row>
    <row r="253">
      <c r="A253" s="78" t="str">
        <f t="shared" si="1"/>
        <v>#REF!</v>
      </c>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c r="BW253" s="77"/>
      <c r="BX253" s="77"/>
    </row>
    <row r="254">
      <c r="A254" s="78" t="str">
        <f t="shared" si="1"/>
        <v>#REF!</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c r="BW254" s="77"/>
      <c r="BX254" s="77"/>
    </row>
    <row r="255">
      <c r="A255" s="78" t="str">
        <f t="shared" si="1"/>
        <v>#REF!</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c r="BW255" s="77"/>
      <c r="BX255" s="77"/>
    </row>
    <row r="256">
      <c r="A256" s="78" t="str">
        <f t="shared" si="1"/>
        <v>#REF!</v>
      </c>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c r="BW256" s="77"/>
      <c r="BX256" s="77"/>
    </row>
    <row r="257">
      <c r="A257" s="78" t="str">
        <f t="shared" si="1"/>
        <v>#REF!</v>
      </c>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c r="BW257" s="77"/>
      <c r="BX257" s="77"/>
    </row>
    <row r="258">
      <c r="A258" s="78" t="str">
        <f t="shared" si="1"/>
        <v>#REF!</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c r="BW258" s="77"/>
      <c r="BX258" s="77"/>
    </row>
    <row r="259">
      <c r="A259" s="78" t="str">
        <f t="shared" si="1"/>
        <v>#REF!</v>
      </c>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c r="BW259" s="77"/>
      <c r="BX259" s="77"/>
    </row>
    <row r="260">
      <c r="A260" s="78" t="str">
        <f t="shared" si="1"/>
        <v>#REF!</v>
      </c>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c r="BW260" s="77"/>
      <c r="BX260" s="77"/>
    </row>
    <row r="261">
      <c r="A261" s="78" t="str">
        <f t="shared" si="1"/>
        <v>#REF!</v>
      </c>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row>
    <row r="262">
      <c r="A262" s="78" t="str">
        <f t="shared" si="1"/>
        <v>#REF!</v>
      </c>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c r="BW262" s="77"/>
      <c r="BX262" s="77"/>
    </row>
    <row r="263">
      <c r="A263" s="78" t="str">
        <f t="shared" si="1"/>
        <v>#REF!</v>
      </c>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c r="BW263" s="77"/>
      <c r="BX263" s="77"/>
    </row>
    <row r="264">
      <c r="A264" s="78" t="str">
        <f t="shared" si="1"/>
        <v>#REF!</v>
      </c>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c r="BW264" s="77"/>
      <c r="BX264" s="77"/>
    </row>
    <row r="265">
      <c r="A265" s="78" t="str">
        <f t="shared" si="1"/>
        <v>#REF!</v>
      </c>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c r="BW265" s="77"/>
      <c r="BX265" s="77"/>
    </row>
    <row r="266">
      <c r="A266" s="78" t="str">
        <f t="shared" si="1"/>
        <v>#REF!</v>
      </c>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c r="BW266" s="77"/>
      <c r="BX266" s="77"/>
    </row>
    <row r="267">
      <c r="A267" s="78" t="str">
        <f t="shared" si="1"/>
        <v>#REF!</v>
      </c>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c r="BW267" s="77"/>
      <c r="BX267" s="77"/>
    </row>
    <row r="268">
      <c r="A268" s="78" t="str">
        <f t="shared" si="1"/>
        <v>#REF!</v>
      </c>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c r="BW268" s="77"/>
      <c r="BX268" s="77"/>
    </row>
    <row r="269">
      <c r="A269" s="78" t="str">
        <f t="shared" si="1"/>
        <v>#REF!</v>
      </c>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c r="BW269" s="77"/>
      <c r="BX269" s="77"/>
    </row>
    <row r="270">
      <c r="A270" s="78" t="str">
        <f t="shared" si="1"/>
        <v>#REF!</v>
      </c>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c r="BW270" s="77"/>
      <c r="BX270" s="77"/>
    </row>
    <row r="271">
      <c r="A271" s="78" t="str">
        <f t="shared" si="1"/>
        <v>#REF!</v>
      </c>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c r="BW271" s="77"/>
      <c r="BX271" s="77"/>
    </row>
    <row r="272">
      <c r="A272" s="78" t="str">
        <f t="shared" si="1"/>
        <v>#REF!</v>
      </c>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c r="BW272" s="77"/>
      <c r="BX272" s="77"/>
    </row>
    <row r="273">
      <c r="A273" s="78" t="str">
        <f t="shared" ref="A273:A277" si="74">CONCATENATE('Term Reference Guide (in-progress)'!B3," [",'Term Reference Guide (in-progress)'!C3,"]")</f>
        <v>#REF!</v>
      </c>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c r="BW273" s="77"/>
      <c r="BX273" s="77"/>
    </row>
    <row r="274">
      <c r="A274" s="78" t="str">
        <f t="shared" si="74"/>
        <v>#REF!</v>
      </c>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c r="BW274" s="77"/>
      <c r="BX274" s="77"/>
    </row>
    <row r="275">
      <c r="A275" s="78" t="str">
        <f t="shared" si="74"/>
        <v>#REF!</v>
      </c>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c r="BW275" s="77"/>
      <c r="BX275" s="77"/>
    </row>
    <row r="276">
      <c r="A276" s="78" t="str">
        <f t="shared" si="74"/>
        <v>#REF!</v>
      </c>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c r="BW276" s="77"/>
      <c r="BX276" s="77"/>
    </row>
    <row r="277">
      <c r="A277" s="78" t="str">
        <f t="shared" si="74"/>
        <v>#REF!</v>
      </c>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c r="BW277" s="77"/>
      <c r="BX277" s="77"/>
    </row>
    <row r="278">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c r="BW278" s="77"/>
      <c r="BX278" s="77"/>
    </row>
    <row r="279">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c r="BW279" s="77"/>
      <c r="BX279" s="77"/>
    </row>
    <row r="280">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c r="BW280" s="77"/>
      <c r="BX280" s="77"/>
    </row>
    <row r="281">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c r="BW281" s="77"/>
      <c r="BX281" s="77"/>
    </row>
    <row r="282">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c r="BW282" s="77"/>
      <c r="BX282" s="77"/>
    </row>
    <row r="283">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row>
    <row r="284">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c r="BW284" s="77"/>
      <c r="BX284" s="77"/>
    </row>
    <row r="285">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c r="BW285" s="77"/>
      <c r="BX285" s="77"/>
    </row>
  </sheetData>
  <mergeCells count="1">
    <mergeCell ref="I8:J8"/>
  </mergeCells>
  <drawing r:id="rId2"/>
  <legacyDrawing r:id="rId3"/>
</worksheet>
</file>